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985" firstSheet="1" activeTab="6"/>
  </bookViews>
  <sheets>
    <sheet name="Cover" sheetId="1" r:id="rId1"/>
    <sheet name="Dosen" sheetId="2" r:id="rId2"/>
    <sheet name="Guru TK" sheetId="3" r:id="rId3"/>
    <sheet name="Guru SD" sheetId="4" r:id="rId4"/>
    <sheet name="Guru SLTP" sheetId="5" r:id="rId5"/>
    <sheet name="Guru SMU" sheetId="6" r:id="rId6"/>
    <sheet name="Guru SMK" sheetId="7" r:id="rId7"/>
    <sheet name="Sheet1" sheetId="8" r:id="rId8"/>
  </sheets>
  <definedNames>
    <definedName name="_xlnm.Print_Area" localSheetId="4">'Guru SLTP'!$A$1:$I$442</definedName>
    <definedName name="_xlnm.Print_Titles" localSheetId="1">'Dosen'!$A:$B</definedName>
    <definedName name="_xlnm.Print_Titles" localSheetId="3">'Guru SD'!$A:$B,'Guru SD'!$4:$5</definedName>
    <definedName name="_xlnm.Print_Titles" localSheetId="4">'Guru SLTP'!$A:$B,'Guru SLTP'!$4:$5</definedName>
    <definedName name="_xlnm.Print_Titles" localSheetId="6">'Guru SMK'!$A:$B,'Guru SMK'!$4:$6</definedName>
    <definedName name="_xlnm.Print_Titles" localSheetId="5">'Guru SMU'!$A:$B,'Guru SMU'!$4:$5</definedName>
    <definedName name="_xlnm.Print_Titles" localSheetId="2">'Guru TK'!$A:$B,'Guru TK'!$4:$5</definedName>
  </definedNames>
  <calcPr fullCalcOnLoad="1"/>
</workbook>
</file>

<file path=xl/sharedStrings.xml><?xml version="1.0" encoding="utf-8"?>
<sst xmlns="http://schemas.openxmlformats.org/spreadsheetml/2006/main" count="2477" uniqueCount="504">
  <si>
    <t>No.</t>
  </si>
  <si>
    <t>Lokasi Kerja</t>
  </si>
  <si>
    <t>Jumlah</t>
  </si>
  <si>
    <t>Prop. Nanggroe Aceh Darussalam</t>
  </si>
  <si>
    <t>Kab. Aceh Selatan</t>
  </si>
  <si>
    <t>Kab. Aceh Tenggara</t>
  </si>
  <si>
    <t>Kab. Aceh Timur</t>
  </si>
  <si>
    <t>Kab. Aceh Tengah</t>
  </si>
  <si>
    <t>Kab. Aceh Barat</t>
  </si>
  <si>
    <t>Kab. Aceh Besar</t>
  </si>
  <si>
    <t>Kab. Pidie</t>
  </si>
  <si>
    <t>Kab. Aceh Utara</t>
  </si>
  <si>
    <t>Kab. Simeuleu</t>
  </si>
  <si>
    <t>Kab. Aceh Singkil</t>
  </si>
  <si>
    <t>Kab. Bireuen</t>
  </si>
  <si>
    <t>Kab. Aceh Barat Daya</t>
  </si>
  <si>
    <t>Kab. Gayo Lues</t>
  </si>
  <si>
    <t>Kab. Aceh Tamiang</t>
  </si>
  <si>
    <t>Kab. Nagan Raya</t>
  </si>
  <si>
    <t>Kab. Aceh Jaya</t>
  </si>
  <si>
    <t>Kota Banda Aceh</t>
  </si>
  <si>
    <t>Kota Sabang</t>
  </si>
  <si>
    <t>Kota Langsa</t>
  </si>
  <si>
    <t>Kota Lhokseumawe</t>
  </si>
  <si>
    <t>Prop. Sumatera Utara</t>
  </si>
  <si>
    <t>Kab. Nias</t>
  </si>
  <si>
    <t>Kab. Tapanuli Selatan</t>
  </si>
  <si>
    <t>Kab. Tapanuli Tengah</t>
  </si>
  <si>
    <t>Kab. Tapanuli Utara</t>
  </si>
  <si>
    <t>Kab. Labuhan Batu</t>
  </si>
  <si>
    <t>Kab. Asahan</t>
  </si>
  <si>
    <t>Kab. Simalungun</t>
  </si>
  <si>
    <t>Kab. Dairi</t>
  </si>
  <si>
    <t>Kab. Karo</t>
  </si>
  <si>
    <t>Kab. Deli Serdang</t>
  </si>
  <si>
    <t>Kab. Langkat</t>
  </si>
  <si>
    <t>Kab. Toba Samosir</t>
  </si>
  <si>
    <t>Kab. Mandailing Natal</t>
  </si>
  <si>
    <t>Kota Sibolga</t>
  </si>
  <si>
    <t>Kota Tanjung Balai</t>
  </si>
  <si>
    <t>Kota Pematang Siantar</t>
  </si>
  <si>
    <t>Kota Tebing Tinggi</t>
  </si>
  <si>
    <t>Kota Medan</t>
  </si>
  <si>
    <t>Kota Binjai</t>
  </si>
  <si>
    <t>Kota Padang Sidempuan</t>
  </si>
  <si>
    <t>Prop. Sumatera Barat</t>
  </si>
  <si>
    <t>Kab. Pesisir Selatan</t>
  </si>
  <si>
    <t>Kab. Solok</t>
  </si>
  <si>
    <t>Kab. Sawahlunto/sijunjung</t>
  </si>
  <si>
    <t>Kab. Tanah Datar</t>
  </si>
  <si>
    <t>Kab. Padang Pariaman</t>
  </si>
  <si>
    <t>Kab. Agam</t>
  </si>
  <si>
    <t>Kab. Lima Puluh Koto</t>
  </si>
  <si>
    <t>Kab. Pasaman</t>
  </si>
  <si>
    <t>Kab. Mentawai</t>
  </si>
  <si>
    <t>Kota Padang</t>
  </si>
  <si>
    <t>Kota Solok</t>
  </si>
  <si>
    <t>Kota Sawah Lunto</t>
  </si>
  <si>
    <t>Kota Padang Panjang</t>
  </si>
  <si>
    <t>Kota Bukit Tinggi</t>
  </si>
  <si>
    <t>Kota Payakumbuh</t>
  </si>
  <si>
    <t>Kota Pariaman</t>
  </si>
  <si>
    <t>Prop. Riau</t>
  </si>
  <si>
    <t>Kab. Indragiri Hulu</t>
  </si>
  <si>
    <t>Kab. Indragiri Hilir</t>
  </si>
  <si>
    <t>Kab. Kampar</t>
  </si>
  <si>
    <t>Kab. Bengkalis</t>
  </si>
  <si>
    <t>Kab. Pelalawan</t>
  </si>
  <si>
    <t>Kab. Rokan Hulu</t>
  </si>
  <si>
    <t>Kab. Rokan Hilir</t>
  </si>
  <si>
    <t>Kab. Siak</t>
  </si>
  <si>
    <t>Kab. Kuantan Sengingi</t>
  </si>
  <si>
    <t>Kota Pekan Baru</t>
  </si>
  <si>
    <t>Kota Dumai</t>
  </si>
  <si>
    <t>Prop. Jambi</t>
  </si>
  <si>
    <t>Kab. Kerinci</t>
  </si>
  <si>
    <t>Kab. Bungo</t>
  </si>
  <si>
    <t>Kab. Sarolangun</t>
  </si>
  <si>
    <t>Kab. Batang Hari</t>
  </si>
  <si>
    <t>Kab. Tebo</t>
  </si>
  <si>
    <t>Kab. Merangin</t>
  </si>
  <si>
    <t>Kab. Tanjung Jabung Barat</t>
  </si>
  <si>
    <t>Kab. Tanjung Jabung Timur</t>
  </si>
  <si>
    <t>Kab. Muaro Jambi</t>
  </si>
  <si>
    <t>Kota Jambi</t>
  </si>
  <si>
    <t>Prop. Sumatera Selatan</t>
  </si>
  <si>
    <t>Kab. Ogan Komering Ulu</t>
  </si>
  <si>
    <t>Kab. Ogan Komering Ilir</t>
  </si>
  <si>
    <t>Kab. Muara Enim</t>
  </si>
  <si>
    <t>Kab. Lahat</t>
  </si>
  <si>
    <t>Kab. Musi Rawas</t>
  </si>
  <si>
    <t>Kab. Musi Banyu Asin</t>
  </si>
  <si>
    <t>Kab. Banyu Asin</t>
  </si>
  <si>
    <t>Kota Palembang</t>
  </si>
  <si>
    <t>Kota Pagar Alam</t>
  </si>
  <si>
    <t>Kota Lubuk Linggau</t>
  </si>
  <si>
    <t>Kota Prabumulih</t>
  </si>
  <si>
    <t>Prop. Bengkulu</t>
  </si>
  <si>
    <t>Kab. Bengkulu Selatan</t>
  </si>
  <si>
    <t>Kab. Rejang Lebong</t>
  </si>
  <si>
    <t>Kab. Bengkulu Utara</t>
  </si>
  <si>
    <t>Kab. Kaur</t>
  </si>
  <si>
    <t>Kab. Seluma</t>
  </si>
  <si>
    <t>Kab. Mukomuko</t>
  </si>
  <si>
    <t>Kota Bengkulu</t>
  </si>
  <si>
    <t>Prop. Lampung</t>
  </si>
  <si>
    <t>Kab. Lampung Selatan</t>
  </si>
  <si>
    <t>Kab. Lampung Tengah</t>
  </si>
  <si>
    <t>Kab. Lampung Utara</t>
  </si>
  <si>
    <t>Kab. Lampung Barat</t>
  </si>
  <si>
    <t>Kab. Tanggamus</t>
  </si>
  <si>
    <t>Kab. Tulang Bawang</t>
  </si>
  <si>
    <t>Kab. Way Kanan</t>
  </si>
  <si>
    <t>Kab. Lampung Timur</t>
  </si>
  <si>
    <t>Kota Bandar Lampung</t>
  </si>
  <si>
    <t>Kota Metro</t>
  </si>
  <si>
    <t>Prop. Bangka Belitung</t>
  </si>
  <si>
    <t>Kab. Bangka</t>
  </si>
  <si>
    <t>Kab. Bangka Barat</t>
  </si>
  <si>
    <t>Kab. Bangka Tengah</t>
  </si>
  <si>
    <t>Kab. Bangka Selatan</t>
  </si>
  <si>
    <t>Kab. Belitung</t>
  </si>
  <si>
    <t>Kab. Belitung Timur</t>
  </si>
  <si>
    <t>Kota Pangkal Pinang</t>
  </si>
  <si>
    <t>Prop. Kepulauan Riau</t>
  </si>
  <si>
    <t>Kab. Kepulauan Riau</t>
  </si>
  <si>
    <t>Kab. Karimun</t>
  </si>
  <si>
    <t>Kab. Natuna</t>
  </si>
  <si>
    <t>Kota Batam</t>
  </si>
  <si>
    <t>Kota Tanjung Pinang</t>
  </si>
  <si>
    <t>Prop. D K I  Jakarta</t>
  </si>
  <si>
    <t>Prop. Jawa Barat</t>
  </si>
  <si>
    <t>Kab. Bogor</t>
  </si>
  <si>
    <t>Kab. Sukabumi</t>
  </si>
  <si>
    <t>Kab. Cianjur</t>
  </si>
  <si>
    <t>Kab. Bandung</t>
  </si>
  <si>
    <t>Kab. Garut</t>
  </si>
  <si>
    <t>Kab. Tasikmalaya</t>
  </si>
  <si>
    <t>Kab. Ciamis</t>
  </si>
  <si>
    <t>Kab. Kuningan</t>
  </si>
  <si>
    <t>Kab. Cirebon</t>
  </si>
  <si>
    <t>Kab. Majalengka</t>
  </si>
  <si>
    <t>Kab. Sumedang</t>
  </si>
  <si>
    <t>Kab. Indramayu</t>
  </si>
  <si>
    <t>Kab. Subang</t>
  </si>
  <si>
    <t>Kab. Purwakarta</t>
  </si>
  <si>
    <t>Kab. Karawang</t>
  </si>
  <si>
    <t>Kab. Bekasi</t>
  </si>
  <si>
    <t>Kota Bogor</t>
  </si>
  <si>
    <t>Kota Sukabumi</t>
  </si>
  <si>
    <t>Kota Bandung</t>
  </si>
  <si>
    <t>Kota Cirebon</t>
  </si>
  <si>
    <t>Kota Bekasi</t>
  </si>
  <si>
    <t>Kota Depok</t>
  </si>
  <si>
    <t>Kota Cimahi</t>
  </si>
  <si>
    <t>Kota Tasikmalaya</t>
  </si>
  <si>
    <t>Kota Banjar</t>
  </si>
  <si>
    <t>Prop. Jawa Tengah</t>
  </si>
  <si>
    <t>Kab. Cilacap</t>
  </si>
  <si>
    <t>Kab. Banyumas</t>
  </si>
  <si>
    <t>Kab. Purbalingga</t>
  </si>
  <si>
    <t>Kab. Banjarnegara</t>
  </si>
  <si>
    <t>Kab. Kebumen</t>
  </si>
  <si>
    <t>Kab. Purworejo</t>
  </si>
  <si>
    <t>Kab. Wonosobo</t>
  </si>
  <si>
    <t>Kab. Magelang</t>
  </si>
  <si>
    <t>Kab. Boyolali</t>
  </si>
  <si>
    <t>Kab. Klaten</t>
  </si>
  <si>
    <t>Kab. Sukoharjo</t>
  </si>
  <si>
    <t>Kab. Wonogiri</t>
  </si>
  <si>
    <t>Kab. Karanganyar</t>
  </si>
  <si>
    <t>Kab. Sragen</t>
  </si>
  <si>
    <t>Kab. Grobogan</t>
  </si>
  <si>
    <t>Kab. Blora</t>
  </si>
  <si>
    <t>Kab. Rembang</t>
  </si>
  <si>
    <t>Kab. Pati</t>
  </si>
  <si>
    <t>Kab. Kudus</t>
  </si>
  <si>
    <t>Kab. Jepara</t>
  </si>
  <si>
    <t>Kab. Demak</t>
  </si>
  <si>
    <t>Kab. Semarang</t>
  </si>
  <si>
    <t>Kab. Temanggung</t>
  </si>
  <si>
    <t>Kab. Kendal</t>
  </si>
  <si>
    <t>Kab. Batang</t>
  </si>
  <si>
    <t>Kab. Pekalongan</t>
  </si>
  <si>
    <t>Kab. Pemalang</t>
  </si>
  <si>
    <t>Kab. Tegal</t>
  </si>
  <si>
    <t>Kab. Brebes</t>
  </si>
  <si>
    <t>Kota Magelang</t>
  </si>
  <si>
    <t>Kota Surakarta</t>
  </si>
  <si>
    <t>Kota Salatiga</t>
  </si>
  <si>
    <t>Kota Semarang</t>
  </si>
  <si>
    <t>Kota Pekalongan</t>
  </si>
  <si>
    <t>Kota Tegal</t>
  </si>
  <si>
    <t>Prop. D I Yogyakarta</t>
  </si>
  <si>
    <t>Kab. Kulon Progo</t>
  </si>
  <si>
    <t>Kab. Bantul</t>
  </si>
  <si>
    <t>Kab. Gunung Kidul</t>
  </si>
  <si>
    <t>Kab. Sleman</t>
  </si>
  <si>
    <t>Kota Yogyakarta</t>
  </si>
  <si>
    <t>Prop. Jawa Timur</t>
  </si>
  <si>
    <t>Kab. Pacitan</t>
  </si>
  <si>
    <t>Kab. Ponorogo</t>
  </si>
  <si>
    <t>Kab. Trenggalek</t>
  </si>
  <si>
    <t>Kab. Tulungagung</t>
  </si>
  <si>
    <t>Kab. Blitar</t>
  </si>
  <si>
    <t>Kab. Kediri</t>
  </si>
  <si>
    <t>Kab. Malang</t>
  </si>
  <si>
    <t>Kab. Lumajang</t>
  </si>
  <si>
    <t>Kab. Jember</t>
  </si>
  <si>
    <t>Kab. Banyuwangi</t>
  </si>
  <si>
    <t>Kab. Bondowoso</t>
  </si>
  <si>
    <t>Kab. Situbondo</t>
  </si>
  <si>
    <t>Kab. Probolinggo</t>
  </si>
  <si>
    <t>Kab. Pasuruan</t>
  </si>
  <si>
    <t>Kab. Sidoarjo</t>
  </si>
  <si>
    <t>Kab. Mojokerto</t>
  </si>
  <si>
    <t>Kab. Jombang</t>
  </si>
  <si>
    <t>Kab. Nganjuk</t>
  </si>
  <si>
    <t>Kab. Madiun</t>
  </si>
  <si>
    <t>Kab. Magetan</t>
  </si>
  <si>
    <t>Kab. Ngawi</t>
  </si>
  <si>
    <t>Kab. Bojonegoro</t>
  </si>
  <si>
    <t>Kab. Tuban</t>
  </si>
  <si>
    <t>Kab. Lamongan</t>
  </si>
  <si>
    <t>Kab. Gresik</t>
  </si>
  <si>
    <t>Kab. Bangkalan</t>
  </si>
  <si>
    <t>Kab. Sampang</t>
  </si>
  <si>
    <t>Kab. Pamekasan</t>
  </si>
  <si>
    <t>Kab. Sumenep</t>
  </si>
  <si>
    <t>Kota Kediri</t>
  </si>
  <si>
    <t>Kota Blitar</t>
  </si>
  <si>
    <t>Kota Malang</t>
  </si>
  <si>
    <t>Kota Probolinggo</t>
  </si>
  <si>
    <t>Kota Pasuruan</t>
  </si>
  <si>
    <t>Kota Mojokerto</t>
  </si>
  <si>
    <t>Kota Madiun</t>
  </si>
  <si>
    <t>Kota Surabaya</t>
  </si>
  <si>
    <t>Kota Batu</t>
  </si>
  <si>
    <t>Prop. Banten</t>
  </si>
  <si>
    <t>Kab. Pandeglang</t>
  </si>
  <si>
    <t>Kab. Lebak</t>
  </si>
  <si>
    <t>Kab. Tangerang</t>
  </si>
  <si>
    <t>Kab. Serang</t>
  </si>
  <si>
    <t>Kota Tangerang</t>
  </si>
  <si>
    <t>Kota Cilegon</t>
  </si>
  <si>
    <t>Prop. Bali</t>
  </si>
  <si>
    <t>Kab. Jembrana</t>
  </si>
  <si>
    <t>Kab. Tabanan</t>
  </si>
  <si>
    <t>Kab. Badung</t>
  </si>
  <si>
    <t>Kab. Gianyar</t>
  </si>
  <si>
    <t>Kab. Klungkung</t>
  </si>
  <si>
    <t>Kab. Bangli</t>
  </si>
  <si>
    <t>Kab. Karang Asem</t>
  </si>
  <si>
    <t>Kab. Buleleng</t>
  </si>
  <si>
    <t>Kota D E N P A S A R</t>
  </si>
  <si>
    <t>Prop. Nusa Tenggara Barat</t>
  </si>
  <si>
    <t>Kab. Lombok Barat</t>
  </si>
  <si>
    <t>Kab. Lombok Tengah</t>
  </si>
  <si>
    <t>Kab. Lombok Timur</t>
  </si>
  <si>
    <t>Kab. Sumbawa</t>
  </si>
  <si>
    <t>Kab. Dompu</t>
  </si>
  <si>
    <t>Kab. Bima</t>
  </si>
  <si>
    <t>Kota Mataram</t>
  </si>
  <si>
    <t>Kota Bima</t>
  </si>
  <si>
    <t>Prop. Nusa Tenggara Timur</t>
  </si>
  <si>
    <t>Kab. Sumba Barat</t>
  </si>
  <si>
    <t>Kab. Sumba Timur</t>
  </si>
  <si>
    <t>Kab. Kupang</t>
  </si>
  <si>
    <t>Kab. Timor Tengah Selatan</t>
  </si>
  <si>
    <t>Kab. Timor Tengah Utara</t>
  </si>
  <si>
    <t>Kab. Belu</t>
  </si>
  <si>
    <t>Kab. Alor</t>
  </si>
  <si>
    <t>Kab. Flores Timur</t>
  </si>
  <si>
    <t>Kab. Sikka</t>
  </si>
  <si>
    <t>Kab. Ende</t>
  </si>
  <si>
    <t>Kab. Ngada</t>
  </si>
  <si>
    <t>Kab. Manggarai</t>
  </si>
  <si>
    <t>Kab. Lembata</t>
  </si>
  <si>
    <t>Kab. Rote Ndao</t>
  </si>
  <si>
    <t>Kab. Manggarai Barat</t>
  </si>
  <si>
    <t>Kota Kupang</t>
  </si>
  <si>
    <t>Prop. Kalimantan Barat</t>
  </si>
  <si>
    <t>Kab. Sambas</t>
  </si>
  <si>
    <t>Kab. Pontianak</t>
  </si>
  <si>
    <t>Kab. Sanggau</t>
  </si>
  <si>
    <t>Kab. Ketapang</t>
  </si>
  <si>
    <t>Kab. Sintang</t>
  </si>
  <si>
    <t>Kab. Kapuas Hulu</t>
  </si>
  <si>
    <t>Kab. Bengkayang</t>
  </si>
  <si>
    <t>Kab. Landak</t>
  </si>
  <si>
    <t>Kota Pontianak</t>
  </si>
  <si>
    <t>Kota Singkawang</t>
  </si>
  <si>
    <t>Prop. Kalimantan Tengah</t>
  </si>
  <si>
    <t>Kab. Kotawaringin Barat</t>
  </si>
  <si>
    <t>Kab. Kotawaringin Timur</t>
  </si>
  <si>
    <t>Kab. Kapuas</t>
  </si>
  <si>
    <t>Kab. Barito Selatan</t>
  </si>
  <si>
    <t>Kab. Barito Utara</t>
  </si>
  <si>
    <t>Kab. Barito Timur</t>
  </si>
  <si>
    <t>Kab. Sukamara</t>
  </si>
  <si>
    <t>Kab. Lamandau</t>
  </si>
  <si>
    <t>Kab. Seruyan</t>
  </si>
  <si>
    <t>Kab. Katingan</t>
  </si>
  <si>
    <t>Kab. Pulang Pisau</t>
  </si>
  <si>
    <t>Kab. Gunung Mas</t>
  </si>
  <si>
    <t>Kab. Murung Raya</t>
  </si>
  <si>
    <t>Kota Palangkaraya</t>
  </si>
  <si>
    <t>Prop. Kalimantan Selatan</t>
  </si>
  <si>
    <t>Kab. Tanah Laut</t>
  </si>
  <si>
    <t>Kab. Kotabaru</t>
  </si>
  <si>
    <t>Kab. Banjar</t>
  </si>
  <si>
    <t>Kab. Barito Kuala</t>
  </si>
  <si>
    <t>Kab. Tapin</t>
  </si>
  <si>
    <t>Kab. Hulu Sungai Selatan</t>
  </si>
  <si>
    <t>Kab. Hulu Sungai Tengah</t>
  </si>
  <si>
    <t>Kab. Hulu Sungai Utara</t>
  </si>
  <si>
    <t>Kab. Tabalong</t>
  </si>
  <si>
    <t>Kab. Tanah Bumbu</t>
  </si>
  <si>
    <t>Kab. Balangan</t>
  </si>
  <si>
    <t>Kota Banjarmasin</t>
  </si>
  <si>
    <t>Kota Banjarbaru</t>
  </si>
  <si>
    <t>Prop. Kalimantan Timur</t>
  </si>
  <si>
    <t>Kab. Pasir</t>
  </si>
  <si>
    <t>Kab. Kutai Kertanegara</t>
  </si>
  <si>
    <t>Kab. Berau</t>
  </si>
  <si>
    <t>Kab. Bulungan</t>
  </si>
  <si>
    <t>Kab. Nunukan</t>
  </si>
  <si>
    <t>Kab. Kutai Barat</t>
  </si>
  <si>
    <t>Kab. Kutai Timur</t>
  </si>
  <si>
    <t>Kab. Malinau</t>
  </si>
  <si>
    <t>Kab. Penajam Paser Utara</t>
  </si>
  <si>
    <t>Kota Balikpapan</t>
  </si>
  <si>
    <t>Kota Samarinda</t>
  </si>
  <si>
    <t>Kota Tarakan</t>
  </si>
  <si>
    <t>Kota Bontang</t>
  </si>
  <si>
    <t>Prop. Sulawesi Utara</t>
  </si>
  <si>
    <t>Kab. Bolaang Mongondow</t>
  </si>
  <si>
    <t>Kab. Minahasa</t>
  </si>
  <si>
    <t>Kab. Kepulauan Sangihe Talaud</t>
  </si>
  <si>
    <t>Kab. Kepulauan Talaud</t>
  </si>
  <si>
    <t>Kab. Minahasa Selatan</t>
  </si>
  <si>
    <t>Kota Manado</t>
  </si>
  <si>
    <t>Kota Bitung</t>
  </si>
  <si>
    <t>Prop. Sulawesi Tengah</t>
  </si>
  <si>
    <t>Kab. Banggai</t>
  </si>
  <si>
    <t>Kab. Poso</t>
  </si>
  <si>
    <t>Kab. Donggala</t>
  </si>
  <si>
    <t>Kab. Toli-toli</t>
  </si>
  <si>
    <t>Kab. Buol</t>
  </si>
  <si>
    <t>Kab. Morowali</t>
  </si>
  <si>
    <t>Kab. Banggai Kepulauan</t>
  </si>
  <si>
    <t>Kab. Parigi Moutong</t>
  </si>
  <si>
    <t>Kota Palu</t>
  </si>
  <si>
    <t>Prop. Sulawesi Selatan</t>
  </si>
  <si>
    <t>Kab. Selayar</t>
  </si>
  <si>
    <t>Kab. Bulukumba</t>
  </si>
  <si>
    <t>Kab. Bantaeng</t>
  </si>
  <si>
    <t>Kab. Jeneponto</t>
  </si>
  <si>
    <t>Kab. Takalar</t>
  </si>
  <si>
    <t>Kab. Gowa</t>
  </si>
  <si>
    <t>Kab. Sinjai</t>
  </si>
  <si>
    <t>Kab. Maros</t>
  </si>
  <si>
    <t>Kab. Pangkajene Kepulauan</t>
  </si>
  <si>
    <t>Kab. Barru</t>
  </si>
  <si>
    <t>Kab. Bone</t>
  </si>
  <si>
    <t>Kab. Soppeng</t>
  </si>
  <si>
    <t>Kab. Wajo</t>
  </si>
  <si>
    <t>Kab. Sidenreng Rappang</t>
  </si>
  <si>
    <t>Kab. Pinrang</t>
  </si>
  <si>
    <t>Kab. Enrekang</t>
  </si>
  <si>
    <t>Kab. Luwu</t>
  </si>
  <si>
    <t>Kab. Tana Toraja</t>
  </si>
  <si>
    <t>Kab. Polewali</t>
  </si>
  <si>
    <t>Kab. Majene</t>
  </si>
  <si>
    <t>Kab. Mamuju</t>
  </si>
  <si>
    <t>Kab. Luwu Utara</t>
  </si>
  <si>
    <t>Kab. Mamasa</t>
  </si>
  <si>
    <t>Kab. Mamuju Utara</t>
  </si>
  <si>
    <t>Kab. Luwu Timur</t>
  </si>
  <si>
    <t>Kota Makassar</t>
  </si>
  <si>
    <t>Kota Pare-pare</t>
  </si>
  <si>
    <t>Kota Palopo</t>
  </si>
  <si>
    <t>Prop. Sulawesi Tenggara</t>
  </si>
  <si>
    <t>Kab. Buton</t>
  </si>
  <si>
    <t>Kab. Muna</t>
  </si>
  <si>
    <t>Kab. Kendari</t>
  </si>
  <si>
    <t>Kab. Kolaka</t>
  </si>
  <si>
    <t>Kota Kendari</t>
  </si>
  <si>
    <t>Kota Bau-bau</t>
  </si>
  <si>
    <t>Prop. Gorontalo</t>
  </si>
  <si>
    <t>Kab. Boalemo</t>
  </si>
  <si>
    <t>Kab. Gorontalo</t>
  </si>
  <si>
    <t>Kab. Pohuwato</t>
  </si>
  <si>
    <t>Kab. Bone Bolango</t>
  </si>
  <si>
    <t>Kota Gorontalo</t>
  </si>
  <si>
    <t>Prop. Maluku</t>
  </si>
  <si>
    <t>Kab. Maluku Tenggara</t>
  </si>
  <si>
    <t>Kab. Maluku Tengah</t>
  </si>
  <si>
    <t>Kab. Buru</t>
  </si>
  <si>
    <t>Kab. Maluku Tenggara Barat</t>
  </si>
  <si>
    <t>Kota Ambon</t>
  </si>
  <si>
    <t>Prop. Papua</t>
  </si>
  <si>
    <t>Kab. Merauke</t>
  </si>
  <si>
    <t>Kab. Jayawijaya</t>
  </si>
  <si>
    <t>Kab. Jayapura</t>
  </si>
  <si>
    <t>Kab. Nabire</t>
  </si>
  <si>
    <t>Kab. Fak-fak</t>
  </si>
  <si>
    <t>Kab. Sorong</t>
  </si>
  <si>
    <t>Kab. Manokwari</t>
  </si>
  <si>
    <t>Kab. Yapen Waropen</t>
  </si>
  <si>
    <t>Kab. Biak Numfor</t>
  </si>
  <si>
    <t>Kab. Paniai</t>
  </si>
  <si>
    <t>Kab. Puncak Jaya</t>
  </si>
  <si>
    <t>Kab. Mimika</t>
  </si>
  <si>
    <t>Kab. Boven Digoel</t>
  </si>
  <si>
    <t>Kab. Mappi</t>
  </si>
  <si>
    <t>Kab. Asmat</t>
  </si>
  <si>
    <t>Kab. Yahukimo</t>
  </si>
  <si>
    <t>Kab. Pegunungan Bintang</t>
  </si>
  <si>
    <t>Kab. Tolikara</t>
  </si>
  <si>
    <t>Kab. Sarmi</t>
  </si>
  <si>
    <t>Kab. Keerom</t>
  </si>
  <si>
    <t>Kab. Kaimana</t>
  </si>
  <si>
    <t>Kab. Sorong Selatan</t>
  </si>
  <si>
    <t>Kab. Raja Ampat</t>
  </si>
  <si>
    <t>Kab. Teluk Bintuni</t>
  </si>
  <si>
    <t>Kab. Teluk Wondama</t>
  </si>
  <si>
    <t>Kab. Waropen</t>
  </si>
  <si>
    <t>Kota Jayapura</t>
  </si>
  <si>
    <t>Kota Sorong</t>
  </si>
  <si>
    <t>Prop. Maluku Utara</t>
  </si>
  <si>
    <t>Kab. Maluku Utara</t>
  </si>
  <si>
    <t>Kab. Halmahera Tengah</t>
  </si>
  <si>
    <t>Kab. Kepulauan Sula</t>
  </si>
  <si>
    <t>Kab. Halmahera Selatan</t>
  </si>
  <si>
    <t>Kab. Halmahera Utara</t>
  </si>
  <si>
    <t>Kab. Halmahera Timur</t>
  </si>
  <si>
    <t>Kota Ternate</t>
  </si>
  <si>
    <t>Kota Tidore Kepulauan</t>
  </si>
  <si>
    <t>Luar Negeri</t>
  </si>
  <si>
    <t>Lain-lain</t>
  </si>
  <si>
    <t>Matriks Kebutuhan Formasi Guru Taman Kanak-Kanak</t>
  </si>
  <si>
    <t>BUP 2004</t>
  </si>
  <si>
    <t>Jumlah Real</t>
  </si>
  <si>
    <t>Jumlah Ideal</t>
  </si>
  <si>
    <t>Matriks Kebutuhan Formasi Guru Sekolah Dasar</t>
  </si>
  <si>
    <t>Tahun 2004</t>
  </si>
  <si>
    <t>BUP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</si>
  <si>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</si>
  <si>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</si>
  <si>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</si>
  <si>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</si>
  <si>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</si>
  <si>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</si>
  <si>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</si>
  <si>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</si>
  <si>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</si>
  <si>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</si>
  <si>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</si>
  <si>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</si>
  <si>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</si>
  <si>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</si>
  <si>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</si>
  <si>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</si>
  <si>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</si>
  <si>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</si>
  <si>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</si>
  <si>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</si>
  <si>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</si>
  <si>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</si>
  <si>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</si>
  <si>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</si>
  <si>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</si>
  <si>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</si>
  <si>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</si>
  <si>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</si>
  <si>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</si>
  <si>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</si>
  <si>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</si>
  <si>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Matriks Kebutuhan Formasi Guru Sekolah Lanjutan Tingkat Pertama</t>
  </si>
  <si>
    <t>Matriks Kebutuhan Formasi Guru Sekolah Menengah Umum</t>
  </si>
  <si>
    <t>Matriks Kebutuhan Formasi Guru Sekolah Menegah Kejuruan</t>
  </si>
  <si>
    <t>Tahun 2004 - 2008</t>
  </si>
  <si>
    <t>Jumlah Guru PUPNS</t>
  </si>
  <si>
    <t>Matriks Kebutuhan Formasi Dosen</t>
  </si>
  <si>
    <t>BADAN KEPEGAWAIAN NEGARA</t>
  </si>
  <si>
    <t>PENGADAAN KEBUTUHAN PEGAWAI</t>
  </si>
  <si>
    <t>TAHUN  2004  -  2008</t>
  </si>
  <si>
    <t>TENAGA PENDIDIK</t>
  </si>
  <si>
    <t>DEPARTEMEN PENDIDIKAN NASIONAL</t>
  </si>
  <si>
    <t>Jumlah (Kekurangan) / Kelebihan</t>
  </si>
  <si>
    <t>Jumlah Dosen PUPNS</t>
  </si>
  <si>
    <t>XXXII</t>
  </si>
  <si>
    <t>Kab. Humbang Hasundutan</t>
  </si>
  <si>
    <t>Kota Tomohon</t>
  </si>
  <si>
    <t>XXXIII</t>
  </si>
  <si>
    <t>Alokasi Formasi 2004</t>
  </si>
  <si>
    <t>Alokasi Formasi    2004</t>
  </si>
  <si>
    <t>Tingkat</t>
  </si>
  <si>
    <t>SD</t>
  </si>
  <si>
    <t>SMP</t>
  </si>
  <si>
    <t>SMA</t>
  </si>
  <si>
    <t>SMK</t>
  </si>
  <si>
    <t>Jumlah Kekurangan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</si>
</sst>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\ 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000_);_(* \(#,##0.0000\);_(* &quot;-&quot;??_);_(@_)"/>
  </numFmts>
  <fonts count="13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Times New Roman"/>
      <family val="1"/>
    </font>
    <font>
      <b/>
      <sz val="24"/>
      <name val="Comic Sans MS"/>
      <family val="4"/>
    </font>
    <font>
      <b/>
      <sz val="10"/>
      <name val="Arial"/>
      <family val="2"/>
    </font>
    <font>
      <b/>
      <sz val="9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0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41" fontId="1" fillId="0" borderId="1" xfId="16" applyFont="1" applyBorder="1" applyAlignment="1">
      <alignment vertical="center"/>
    </xf>
    <xf numFmtId="41" fontId="1" fillId="0" borderId="1" xfId="16" applyFont="1" applyFill="1" applyBorder="1" applyAlignment="1">
      <alignment vertical="center"/>
    </xf>
    <xf numFmtId="41" fontId="2" fillId="2" borderId="2" xfId="16" applyFont="1" applyFill="1" applyBorder="1" applyAlignment="1">
      <alignment vertical="center"/>
    </xf>
    <xf numFmtId="172" fontId="1" fillId="0" borderId="3" xfId="15" applyNumberFormat="1" applyFont="1" applyBorder="1" applyAlignment="1">
      <alignment vertical="center"/>
    </xf>
    <xf numFmtId="172" fontId="1" fillId="0" borderId="1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172" fontId="1" fillId="0" borderId="4" xfId="15" applyNumberFormat="1" applyFont="1" applyBorder="1" applyAlignment="1">
      <alignment vertical="center"/>
    </xf>
    <xf numFmtId="17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41" fontId="2" fillId="0" borderId="3" xfId="16" applyFont="1" applyBorder="1" applyAlignment="1">
      <alignment vertical="center"/>
    </xf>
    <xf numFmtId="17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41" fontId="2" fillId="0" borderId="1" xfId="16" applyFont="1" applyBorder="1" applyAlignment="1">
      <alignment vertic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1" xfId="15" applyNumberFormat="1" applyFont="1" applyBorder="1" applyAlignment="1">
      <alignment/>
    </xf>
    <xf numFmtId="172" fontId="2" fillId="2" borderId="2" xfId="15" applyNumberFormat="1" applyFont="1" applyFill="1" applyBorder="1" applyAlignment="1">
      <alignment vertical="center"/>
    </xf>
    <xf numFmtId="172" fontId="2" fillId="0" borderId="1" xfId="15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70" fontId="1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0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2" fontId="3" fillId="0" borderId="0" xfId="15" applyNumberFormat="1" applyFont="1" applyAlignment="1">
      <alignment/>
    </xf>
    <xf numFmtId="41" fontId="1" fillId="0" borderId="15" xfId="0" applyNumberFormat="1" applyFont="1" applyBorder="1" applyAlignment="1">
      <alignment/>
    </xf>
    <xf numFmtId="170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vertical="center"/>
    </xf>
    <xf numFmtId="41" fontId="1" fillId="0" borderId="16" xfId="16" applyFont="1" applyBorder="1" applyAlignment="1">
      <alignment vertical="center"/>
    </xf>
    <xf numFmtId="41" fontId="1" fillId="2" borderId="17" xfId="16" applyFont="1" applyFill="1" applyBorder="1" applyAlignment="1">
      <alignment vertical="center"/>
    </xf>
    <xf numFmtId="41" fontId="2" fillId="0" borderId="16" xfId="16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2" xfId="0" applyFont="1" applyBorder="1" applyAlignment="1">
      <alignment/>
    </xf>
    <xf numFmtId="172" fontId="9" fillId="0" borderId="2" xfId="15" applyNumberFormat="1" applyFont="1" applyBorder="1" applyAlignment="1">
      <alignment/>
    </xf>
    <xf numFmtId="0" fontId="9" fillId="0" borderId="18" xfId="0" applyFont="1" applyBorder="1" applyAlignment="1">
      <alignment/>
    </xf>
    <xf numFmtId="172" fontId="9" fillId="0" borderId="18" xfId="15" applyNumberFormat="1" applyFont="1" applyBorder="1" applyAlignment="1">
      <alignment/>
    </xf>
    <xf numFmtId="0" fontId="10" fillId="3" borderId="2" xfId="0" applyFont="1" applyFill="1" applyBorder="1" applyAlignment="1">
      <alignment/>
    </xf>
    <xf numFmtId="172" fontId="10" fillId="3" borderId="2" xfId="15" applyNumberFormat="1" applyFont="1" applyFill="1" applyBorder="1" applyAlignment="1">
      <alignment/>
    </xf>
    <xf numFmtId="1" fontId="8" fillId="2" borderId="19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0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22</xdr:row>
      <xdr:rowOff>66675</xdr:rowOff>
    </xdr:from>
    <xdr:to>
      <xdr:col>8</xdr:col>
      <xdr:colOff>123825</xdr:colOff>
      <xdr:row>27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8958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9" sqref="A9:O9"/>
    </sheetView>
  </sheetViews>
  <sheetFormatPr defaultColWidth="9.140625" defaultRowHeight="12.75"/>
  <sheetData>
    <row r="1" spans="1:15" ht="13.5" thickTop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</row>
    <row r="3" spans="1:15" ht="12.75">
      <c r="A3" s="3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3"/>
    </row>
    <row r="4" spans="1:15" ht="12.75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3"/>
    </row>
    <row r="5" spans="1:15" ht="12.75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3"/>
    </row>
    <row r="6" spans="1:15" ht="37.5">
      <c r="A6" s="63" t="s">
        <v>486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5" ht="37.5">
      <c r="A7" s="63" t="s">
        <v>488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1:15" ht="37.5">
      <c r="A8" s="63" t="s">
        <v>489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1:15" ht="37.5">
      <c r="A9" s="63" t="s">
        <v>487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12.75">
      <c r="A10" s="3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</row>
    <row r="11" spans="1:15" ht="12.75">
      <c r="A11" s="3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3"/>
    </row>
    <row r="12" spans="1:15" ht="12.75">
      <c r="A12" s="3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3"/>
    </row>
    <row r="13" spans="1:15" ht="12.75">
      <c r="A13" s="3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3"/>
    </row>
    <row r="14" spans="1:15" ht="12.75">
      <c r="A14" s="3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3"/>
    </row>
    <row r="15" spans="1:15" ht="12.7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3"/>
    </row>
    <row r="16" spans="1:15" ht="12.75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3"/>
    </row>
    <row r="17" spans="1:15" ht="12.75">
      <c r="A17" s="3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3"/>
    </row>
    <row r="18" spans="1:15" ht="12.75">
      <c r="A18" s="3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3"/>
    </row>
    <row r="19" spans="1:15" ht="12.7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3"/>
    </row>
    <row r="20" spans="1:15" ht="12.75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3"/>
    </row>
    <row r="21" spans="1:15" ht="12.75">
      <c r="A21" s="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3"/>
    </row>
    <row r="22" spans="1:15" ht="12.75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3"/>
    </row>
    <row r="23" spans="1:15" ht="12.7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3"/>
    </row>
    <row r="24" spans="1:15" ht="12.75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3"/>
    </row>
    <row r="25" spans="1:15" ht="12.75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3"/>
    </row>
    <row r="26" spans="1:15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3"/>
    </row>
    <row r="27" spans="1:15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3"/>
    </row>
    <row r="28" spans="1:15" ht="12.75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3"/>
    </row>
    <row r="29" spans="1:15" ht="18.75">
      <c r="A29" s="60" t="s">
        <v>485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</row>
    <row r="30" spans="1:15" ht="18.75">
      <c r="A30" s="3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5"/>
    </row>
    <row r="31" spans="1:15" ht="13.5" thickBot="1">
      <c r="A31" s="3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ht="13.5" thickTop="1"/>
  </sheetData>
  <mergeCells count="5">
    <mergeCell ref="A29:O29"/>
    <mergeCell ref="A6:O6"/>
    <mergeCell ref="A7:O7"/>
    <mergeCell ref="A9:O9"/>
    <mergeCell ref="A8:O8"/>
  </mergeCells>
  <printOptions horizontalCentered="1"/>
  <pageMargins left="0.98" right="0.48" top="0.84" bottom="0.71" header="0.5" footer="0.5"/>
  <pageSetup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3" sqref="A23"/>
    </sheetView>
  </sheetViews>
  <sheetFormatPr defaultColWidth="9.140625" defaultRowHeight="12.75"/>
  <cols>
    <col min="1" max="1" width="4.8515625" style="0" customWidth="1"/>
    <col min="2" max="2" width="22.140625" style="0" bestFit="1" customWidth="1"/>
    <col min="3" max="3" width="7.28125" style="0" customWidth="1"/>
    <col min="4" max="4" width="5.421875" style="0" customWidth="1"/>
    <col min="5" max="5" width="5.8515625" style="0" customWidth="1"/>
    <col min="6" max="7" width="7.28125" style="0" customWidth="1"/>
    <col min="8" max="8" width="9.28125" style="0" customWidth="1"/>
  </cols>
  <sheetData>
    <row r="1" spans="1:9" ht="12.75">
      <c r="A1" s="70" t="s">
        <v>484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446</v>
      </c>
      <c r="B2" s="71"/>
      <c r="C2" s="71"/>
      <c r="D2" s="71"/>
      <c r="E2" s="71"/>
      <c r="F2" s="71"/>
      <c r="G2" s="71"/>
      <c r="H2" s="71"/>
      <c r="I2" s="71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9" ht="22.5" customHeight="1">
      <c r="A4" s="67" t="s">
        <v>0</v>
      </c>
      <c r="B4" s="67" t="s">
        <v>1</v>
      </c>
      <c r="C4" s="68" t="s">
        <v>491</v>
      </c>
      <c r="D4" s="72" t="s">
        <v>447</v>
      </c>
      <c r="E4" s="68" t="s">
        <v>442</v>
      </c>
      <c r="F4" s="68" t="s">
        <v>443</v>
      </c>
      <c r="G4" s="68" t="s">
        <v>444</v>
      </c>
      <c r="H4" s="69" t="s">
        <v>490</v>
      </c>
      <c r="I4" s="69" t="s">
        <v>496</v>
      </c>
    </row>
    <row r="5" spans="1:9" ht="18.75" customHeight="1">
      <c r="A5" s="67"/>
      <c r="B5" s="67"/>
      <c r="C5" s="68"/>
      <c r="D5" s="73"/>
      <c r="E5" s="68"/>
      <c r="F5" s="68"/>
      <c r="G5" s="68"/>
      <c r="H5" s="69"/>
      <c r="I5" s="69"/>
    </row>
    <row r="6" spans="1:9" ht="13.5">
      <c r="A6" s="11">
        <v>1</v>
      </c>
      <c r="B6" s="12" t="s">
        <v>3</v>
      </c>
      <c r="C6" s="6">
        <v>1701</v>
      </c>
      <c r="D6" s="6">
        <v>18</v>
      </c>
      <c r="E6" s="6">
        <v>19</v>
      </c>
      <c r="F6" s="6">
        <f>C6-D6-E6</f>
        <v>1664</v>
      </c>
      <c r="G6" s="6">
        <f>1866+217</f>
        <v>2083</v>
      </c>
      <c r="H6" s="6">
        <f>F6-G6</f>
        <v>-419</v>
      </c>
      <c r="I6" s="7">
        <f aca="true" t="shared" si="0" ref="I6:I20">H6/-(64278+151)*29703</f>
        <v>193.1670055409831</v>
      </c>
    </row>
    <row r="7" spans="1:9" ht="13.5">
      <c r="A7" s="14">
        <v>2</v>
      </c>
      <c r="B7" s="15" t="s">
        <v>24</v>
      </c>
      <c r="C7" s="7">
        <v>3545</v>
      </c>
      <c r="D7" s="7">
        <v>46</v>
      </c>
      <c r="E7" s="7">
        <v>64</v>
      </c>
      <c r="F7" s="7">
        <f>C7-D7-E7</f>
        <v>3435</v>
      </c>
      <c r="G7" s="7">
        <f>2494+959+316</f>
        <v>3769</v>
      </c>
      <c r="H7" s="7">
        <f aca="true" t="shared" si="1" ref="H7:H36">F7-G7</f>
        <v>-334</v>
      </c>
      <c r="I7" s="7">
        <f t="shared" si="0"/>
        <v>153.9803815052228</v>
      </c>
    </row>
    <row r="8" spans="1:9" ht="13.5">
      <c r="A8" s="14">
        <v>3</v>
      </c>
      <c r="B8" s="15" t="s">
        <v>45</v>
      </c>
      <c r="C8" s="7">
        <v>2709</v>
      </c>
      <c r="D8" s="7">
        <v>27</v>
      </c>
      <c r="E8" s="7">
        <v>30</v>
      </c>
      <c r="F8" s="7">
        <f>C8-D8-E8</f>
        <v>2652</v>
      </c>
      <c r="G8" s="7">
        <f>1576+942+151+100+203</f>
        <v>2972</v>
      </c>
      <c r="H8" s="7">
        <f t="shared" si="1"/>
        <v>-320</v>
      </c>
      <c r="I8" s="7">
        <f t="shared" si="0"/>
        <v>147.52611401697993</v>
      </c>
    </row>
    <row r="9" spans="1:9" ht="13.5">
      <c r="A9" s="14">
        <v>4</v>
      </c>
      <c r="B9" s="15" t="s">
        <v>62</v>
      </c>
      <c r="C9" s="7">
        <v>919</v>
      </c>
      <c r="D9" s="7">
        <v>6</v>
      </c>
      <c r="E9" s="7">
        <v>9</v>
      </c>
      <c r="F9" s="7">
        <f>C9-D9-E9</f>
        <v>904</v>
      </c>
      <c r="G9" s="7">
        <f>1016</f>
        <v>1016</v>
      </c>
      <c r="H9" s="7">
        <f t="shared" si="1"/>
        <v>-112</v>
      </c>
      <c r="I9" s="7">
        <f t="shared" si="0"/>
        <v>51.63413990594297</v>
      </c>
    </row>
    <row r="10" spans="1:9" ht="13.5">
      <c r="A10" s="14">
        <v>5</v>
      </c>
      <c r="B10" s="15" t="s">
        <v>74</v>
      </c>
      <c r="C10" s="7">
        <v>726</v>
      </c>
      <c r="D10" s="7">
        <v>3</v>
      </c>
      <c r="E10" s="7">
        <v>4</v>
      </c>
      <c r="F10" s="7">
        <f aca="true" t="shared" si="2" ref="F10:F15">C10-D10-E10</f>
        <v>719</v>
      </c>
      <c r="G10" s="7">
        <v>741</v>
      </c>
      <c r="H10" s="7">
        <f t="shared" si="1"/>
        <v>-22</v>
      </c>
      <c r="I10" s="7">
        <f t="shared" si="0"/>
        <v>10.14242033866737</v>
      </c>
    </row>
    <row r="11" spans="1:9" ht="13.5">
      <c r="A11" s="14">
        <v>6</v>
      </c>
      <c r="B11" s="15" t="s">
        <v>85</v>
      </c>
      <c r="C11" s="7">
        <v>1575</v>
      </c>
      <c r="D11" s="7">
        <v>8</v>
      </c>
      <c r="E11" s="7">
        <v>14</v>
      </c>
      <c r="F11" s="7">
        <f t="shared" si="2"/>
        <v>1553</v>
      </c>
      <c r="G11" s="7">
        <f>1734+255</f>
        <v>1989</v>
      </c>
      <c r="H11" s="7">
        <f t="shared" si="1"/>
        <v>-436</v>
      </c>
      <c r="I11" s="7">
        <f t="shared" si="0"/>
        <v>201.00433034813517</v>
      </c>
    </row>
    <row r="12" spans="1:9" ht="13.5">
      <c r="A12" s="14">
        <v>7</v>
      </c>
      <c r="B12" s="15" t="s">
        <v>97</v>
      </c>
      <c r="C12" s="7">
        <v>721</v>
      </c>
      <c r="D12" s="7">
        <v>2</v>
      </c>
      <c r="E12" s="7">
        <v>3</v>
      </c>
      <c r="F12" s="7">
        <f t="shared" si="2"/>
        <v>716</v>
      </c>
      <c r="G12" s="7">
        <v>738</v>
      </c>
      <c r="H12" s="7">
        <f t="shared" si="1"/>
        <v>-22</v>
      </c>
      <c r="I12" s="7">
        <f t="shared" si="0"/>
        <v>10.14242033866737</v>
      </c>
    </row>
    <row r="13" spans="1:9" ht="13.5">
      <c r="A13" s="14">
        <v>8</v>
      </c>
      <c r="B13" s="15" t="s">
        <v>105</v>
      </c>
      <c r="C13" s="7">
        <v>1284</v>
      </c>
      <c r="D13" s="7">
        <v>7</v>
      </c>
      <c r="E13" s="7">
        <v>8</v>
      </c>
      <c r="F13" s="7">
        <f t="shared" si="2"/>
        <v>1269</v>
      </c>
      <c r="G13" s="7">
        <f>1523+114</f>
        <v>1637</v>
      </c>
      <c r="H13" s="7">
        <f t="shared" si="1"/>
        <v>-368</v>
      </c>
      <c r="I13" s="7">
        <f t="shared" si="0"/>
        <v>169.6550311195269</v>
      </c>
    </row>
    <row r="14" spans="1:9" ht="13.5">
      <c r="A14" s="14">
        <v>9</v>
      </c>
      <c r="B14" s="15" t="s">
        <v>116</v>
      </c>
      <c r="C14" s="7">
        <v>33</v>
      </c>
      <c r="D14" s="7">
        <v>0</v>
      </c>
      <c r="E14" s="7">
        <v>1</v>
      </c>
      <c r="F14" s="7">
        <f t="shared" si="2"/>
        <v>32</v>
      </c>
      <c r="G14" s="7">
        <v>32</v>
      </c>
      <c r="H14" s="7">
        <f t="shared" si="1"/>
        <v>0</v>
      </c>
      <c r="I14" s="7">
        <f t="shared" si="0"/>
        <v>0</v>
      </c>
    </row>
    <row r="15" spans="1:9" ht="13.5">
      <c r="A15" s="14">
        <v>10</v>
      </c>
      <c r="B15" s="15" t="s">
        <v>124</v>
      </c>
      <c r="C15" s="7">
        <v>16</v>
      </c>
      <c r="D15" s="7">
        <v>0</v>
      </c>
      <c r="E15" s="7">
        <v>0</v>
      </c>
      <c r="F15" s="7">
        <f t="shared" si="2"/>
        <v>16</v>
      </c>
      <c r="G15" s="7">
        <v>16</v>
      </c>
      <c r="H15" s="7">
        <f t="shared" si="1"/>
        <v>0</v>
      </c>
      <c r="I15" s="7">
        <f t="shared" si="0"/>
        <v>0</v>
      </c>
    </row>
    <row r="16" spans="1:9" ht="13.5">
      <c r="A16" s="14">
        <v>11</v>
      </c>
      <c r="B16" s="15" t="s">
        <v>130</v>
      </c>
      <c r="C16" s="7">
        <v>4017</v>
      </c>
      <c r="D16" s="7">
        <v>52</v>
      </c>
      <c r="E16" s="7">
        <v>69</v>
      </c>
      <c r="F16" s="7">
        <f aca="true" t="shared" si="3" ref="F16:F36">C16-D16-E16</f>
        <v>3896</v>
      </c>
      <c r="G16" s="7">
        <f>1533+50552+954+337</f>
        <v>53376</v>
      </c>
      <c r="H16" s="7">
        <f t="shared" si="1"/>
        <v>-49480</v>
      </c>
      <c r="I16" s="7">
        <f t="shared" si="0"/>
        <v>22811.225379875523</v>
      </c>
    </row>
    <row r="17" spans="1:9" ht="13.5">
      <c r="A17" s="14">
        <v>12</v>
      </c>
      <c r="B17" s="15" t="s">
        <v>131</v>
      </c>
      <c r="C17" s="7">
        <v>7388</v>
      </c>
      <c r="D17" s="7">
        <v>88</v>
      </c>
      <c r="E17" s="7">
        <v>133</v>
      </c>
      <c r="F17" s="7">
        <f t="shared" si="3"/>
        <v>7167</v>
      </c>
      <c r="G17" s="7">
        <f>3233+1910+1334+193+497+194+1666</f>
        <v>9027</v>
      </c>
      <c r="H17" s="7">
        <f t="shared" si="1"/>
        <v>-1860</v>
      </c>
      <c r="I17" s="7">
        <f t="shared" si="0"/>
        <v>857.4955377236959</v>
      </c>
    </row>
    <row r="18" spans="1:9" ht="13.5">
      <c r="A18" s="14">
        <v>13</v>
      </c>
      <c r="B18" s="15" t="s">
        <v>157</v>
      </c>
      <c r="C18" s="7">
        <v>5889</v>
      </c>
      <c r="D18" s="7">
        <v>57</v>
      </c>
      <c r="E18" s="7">
        <v>71</v>
      </c>
      <c r="F18" s="7">
        <f t="shared" si="3"/>
        <v>5761</v>
      </c>
      <c r="G18" s="7">
        <f>1618+2696+1565+1131+417+148</f>
        <v>7575</v>
      </c>
      <c r="H18" s="7">
        <f t="shared" si="1"/>
        <v>-1814</v>
      </c>
      <c r="I18" s="7">
        <f t="shared" si="0"/>
        <v>836.288658833755</v>
      </c>
    </row>
    <row r="19" spans="1:9" ht="13.5">
      <c r="A19" s="14">
        <v>14</v>
      </c>
      <c r="B19" s="15" t="s">
        <v>193</v>
      </c>
      <c r="C19" s="7">
        <v>4018</v>
      </c>
      <c r="D19" s="7">
        <v>44</v>
      </c>
      <c r="E19" s="7">
        <v>73</v>
      </c>
      <c r="F19" s="7">
        <f t="shared" si="3"/>
        <v>3901</v>
      </c>
      <c r="G19" s="7">
        <f>3218+1000+293</f>
        <v>4511</v>
      </c>
      <c r="H19" s="7">
        <f t="shared" si="1"/>
        <v>-610</v>
      </c>
      <c r="I19" s="7">
        <f t="shared" si="0"/>
        <v>281.221654844868</v>
      </c>
    </row>
    <row r="20" spans="1:9" ht="13.5">
      <c r="A20" s="14">
        <v>15</v>
      </c>
      <c r="B20" s="15" t="s">
        <v>199</v>
      </c>
      <c r="C20" s="7">
        <v>7959</v>
      </c>
      <c r="D20" s="7">
        <v>87</v>
      </c>
      <c r="E20" s="7">
        <v>105</v>
      </c>
      <c r="F20" s="7">
        <f t="shared" si="3"/>
        <v>7767</v>
      </c>
      <c r="G20" s="7">
        <f>1742+2534+1447+1238+985+1841+111+91+119+400</f>
        <v>10508</v>
      </c>
      <c r="H20" s="7">
        <f t="shared" si="1"/>
        <v>-2741</v>
      </c>
      <c r="I20" s="7">
        <f t="shared" si="0"/>
        <v>1263.6533703766936</v>
      </c>
    </row>
    <row r="21" spans="1:9" ht="13.5">
      <c r="A21" s="14">
        <v>16</v>
      </c>
      <c r="B21" s="15" t="s">
        <v>238</v>
      </c>
      <c r="C21" s="7">
        <v>551</v>
      </c>
      <c r="D21" s="7">
        <v>4</v>
      </c>
      <c r="E21" s="7">
        <v>8</v>
      </c>
      <c r="F21" s="7">
        <f t="shared" si="3"/>
        <v>539</v>
      </c>
      <c r="G21" s="7">
        <v>539</v>
      </c>
      <c r="H21" s="7">
        <f t="shared" si="1"/>
        <v>0</v>
      </c>
      <c r="I21" s="7">
        <f>H21/-(64278+151)*27942</f>
        <v>0</v>
      </c>
    </row>
    <row r="22" spans="1:9" ht="13.5">
      <c r="A22" s="14">
        <v>17</v>
      </c>
      <c r="B22" s="15" t="s">
        <v>245</v>
      </c>
      <c r="C22" s="7">
        <v>2497</v>
      </c>
      <c r="D22" s="7">
        <v>14</v>
      </c>
      <c r="E22" s="7">
        <v>26</v>
      </c>
      <c r="F22" s="7">
        <f t="shared" si="3"/>
        <v>2457</v>
      </c>
      <c r="G22" s="7">
        <f>1716+143+348+430</f>
        <v>2637</v>
      </c>
      <c r="H22" s="7">
        <f t="shared" si="1"/>
        <v>-180</v>
      </c>
      <c r="I22" s="7">
        <f aca="true" t="shared" si="4" ref="I22:I29">H22/-(64278+151)*29703</f>
        <v>82.9834391345512</v>
      </c>
    </row>
    <row r="23" spans="1:9" ht="13.5">
      <c r="A23" s="14">
        <v>18</v>
      </c>
      <c r="B23" s="15" t="s">
        <v>255</v>
      </c>
      <c r="C23" s="7">
        <v>837</v>
      </c>
      <c r="D23" s="7">
        <v>3</v>
      </c>
      <c r="E23" s="7">
        <v>4</v>
      </c>
      <c r="F23" s="7">
        <f t="shared" si="3"/>
        <v>830</v>
      </c>
      <c r="G23" s="7">
        <f>981</f>
        <v>981</v>
      </c>
      <c r="H23" s="7">
        <f t="shared" si="1"/>
        <v>-151</v>
      </c>
      <c r="I23" s="7">
        <f t="shared" si="4"/>
        <v>69.61388505176241</v>
      </c>
    </row>
    <row r="24" spans="1:9" ht="13.5">
      <c r="A24" s="14">
        <v>19</v>
      </c>
      <c r="B24" s="15" t="s">
        <v>264</v>
      </c>
      <c r="C24" s="7">
        <v>864</v>
      </c>
      <c r="D24" s="7">
        <v>5</v>
      </c>
      <c r="E24" s="7">
        <v>9</v>
      </c>
      <c r="F24" s="7">
        <f t="shared" si="3"/>
        <v>850</v>
      </c>
      <c r="G24" s="7">
        <f>723+115+163</f>
        <v>1001</v>
      </c>
      <c r="H24" s="7">
        <f t="shared" si="1"/>
        <v>-151</v>
      </c>
      <c r="I24" s="7">
        <f t="shared" si="4"/>
        <v>69.61388505176241</v>
      </c>
    </row>
    <row r="25" spans="1:9" ht="13.5">
      <c r="A25" s="14">
        <v>20</v>
      </c>
      <c r="B25" s="15" t="s">
        <v>281</v>
      </c>
      <c r="C25" s="7">
        <v>964</v>
      </c>
      <c r="D25" s="7">
        <v>3</v>
      </c>
      <c r="E25" s="7">
        <v>3</v>
      </c>
      <c r="F25" s="7">
        <f t="shared" si="3"/>
        <v>958</v>
      </c>
      <c r="G25" s="7">
        <f>1197+132</f>
        <v>1329</v>
      </c>
      <c r="H25" s="7">
        <f t="shared" si="1"/>
        <v>-371</v>
      </c>
      <c r="I25" s="7">
        <f t="shared" si="4"/>
        <v>171.03808843843612</v>
      </c>
    </row>
    <row r="26" spans="1:9" ht="13.5">
      <c r="A26" s="14">
        <v>21</v>
      </c>
      <c r="B26" s="15" t="s">
        <v>292</v>
      </c>
      <c r="C26" s="7">
        <v>585</v>
      </c>
      <c r="D26" s="7">
        <v>2</v>
      </c>
      <c r="E26" s="7">
        <v>2</v>
      </c>
      <c r="F26" s="7">
        <f t="shared" si="3"/>
        <v>581</v>
      </c>
      <c r="G26" s="7">
        <f>594</f>
        <v>594</v>
      </c>
      <c r="H26" s="7">
        <f t="shared" si="1"/>
        <v>-13</v>
      </c>
      <c r="I26" s="7">
        <f t="shared" si="4"/>
        <v>5.99324838193981</v>
      </c>
    </row>
    <row r="27" spans="1:9" ht="13.5">
      <c r="A27" s="14">
        <v>22</v>
      </c>
      <c r="B27" s="15" t="s">
        <v>307</v>
      </c>
      <c r="C27" s="7">
        <v>1138</v>
      </c>
      <c r="D27" s="7">
        <v>10</v>
      </c>
      <c r="E27" s="7">
        <v>11</v>
      </c>
      <c r="F27" s="7">
        <f t="shared" si="3"/>
        <v>1117</v>
      </c>
      <c r="G27" s="7">
        <f>1169+147</f>
        <v>1316</v>
      </c>
      <c r="H27" s="7">
        <f t="shared" si="1"/>
        <v>-199</v>
      </c>
      <c r="I27" s="7">
        <f t="shared" si="4"/>
        <v>91.7428021543094</v>
      </c>
    </row>
    <row r="28" spans="1:9" ht="13.5">
      <c r="A28" s="14">
        <v>23</v>
      </c>
      <c r="B28" s="15" t="s">
        <v>321</v>
      </c>
      <c r="C28" s="7">
        <v>775</v>
      </c>
      <c r="D28" s="7">
        <v>2</v>
      </c>
      <c r="E28" s="7">
        <v>3</v>
      </c>
      <c r="F28" s="7">
        <f t="shared" si="3"/>
        <v>770</v>
      </c>
      <c r="G28" s="7">
        <f>799+233+87</f>
        <v>1119</v>
      </c>
      <c r="H28" s="7">
        <f t="shared" si="1"/>
        <v>-349</v>
      </c>
      <c r="I28" s="7">
        <f t="shared" si="4"/>
        <v>160.89566809976873</v>
      </c>
    </row>
    <row r="29" spans="1:9" ht="13.5">
      <c r="A29" s="14">
        <v>24</v>
      </c>
      <c r="B29" s="15" t="s">
        <v>335</v>
      </c>
      <c r="C29" s="7">
        <v>2499</v>
      </c>
      <c r="D29" s="7">
        <v>30</v>
      </c>
      <c r="E29" s="7">
        <v>33</v>
      </c>
      <c r="F29" s="7">
        <f t="shared" si="3"/>
        <v>2436</v>
      </c>
      <c r="G29" s="7">
        <f>1804+794+280</f>
        <v>2878</v>
      </c>
      <c r="H29" s="7">
        <f t="shared" si="1"/>
        <v>-442</v>
      </c>
      <c r="I29" s="7">
        <f t="shared" si="4"/>
        <v>203.77044498595353</v>
      </c>
    </row>
    <row r="30" spans="1:9" ht="13.5">
      <c r="A30" s="14">
        <v>25</v>
      </c>
      <c r="B30" s="15" t="s">
        <v>343</v>
      </c>
      <c r="C30" s="7">
        <v>885</v>
      </c>
      <c r="D30" s="7">
        <v>5</v>
      </c>
      <c r="E30" s="7">
        <v>4</v>
      </c>
      <c r="F30" s="7">
        <f t="shared" si="3"/>
        <v>876</v>
      </c>
      <c r="G30" s="7">
        <v>725</v>
      </c>
      <c r="H30" s="7">
        <f t="shared" si="1"/>
        <v>151</v>
      </c>
      <c r="I30" s="7">
        <v>0</v>
      </c>
    </row>
    <row r="31" spans="1:9" ht="13.5">
      <c r="A31" s="14">
        <v>26</v>
      </c>
      <c r="B31" s="15" t="s">
        <v>353</v>
      </c>
      <c r="C31" s="7">
        <v>3835</v>
      </c>
      <c r="D31" s="7">
        <v>40</v>
      </c>
      <c r="E31" s="7">
        <v>40</v>
      </c>
      <c r="F31" s="7">
        <f t="shared" si="3"/>
        <v>3755</v>
      </c>
      <c r="G31" s="7">
        <f>4897+1296+223+138</f>
        <v>6554</v>
      </c>
      <c r="H31" s="7">
        <f t="shared" si="1"/>
        <v>-2799</v>
      </c>
      <c r="I31" s="7">
        <f>H31/-(64278+151)*29703</f>
        <v>1290.3924785422714</v>
      </c>
    </row>
    <row r="32" spans="1:9" ht="13.5">
      <c r="A32" s="14">
        <v>27</v>
      </c>
      <c r="B32" s="15" t="s">
        <v>382</v>
      </c>
      <c r="C32" s="7">
        <v>651</v>
      </c>
      <c r="D32" s="7">
        <v>2</v>
      </c>
      <c r="E32" s="7">
        <v>2</v>
      </c>
      <c r="F32" s="7">
        <f t="shared" si="3"/>
        <v>647</v>
      </c>
      <c r="G32" s="7">
        <v>1150</v>
      </c>
      <c r="H32" s="7">
        <f t="shared" si="1"/>
        <v>-503</v>
      </c>
      <c r="I32" s="7">
        <f>H32/-(64278+151)*29703</f>
        <v>231.89261047044033</v>
      </c>
    </row>
    <row r="33" spans="1:9" ht="13.5">
      <c r="A33" s="14">
        <v>28</v>
      </c>
      <c r="B33" s="15" t="s">
        <v>389</v>
      </c>
      <c r="C33" s="7">
        <v>290</v>
      </c>
      <c r="D33" s="7">
        <v>3</v>
      </c>
      <c r="E33" s="7">
        <v>5</v>
      </c>
      <c r="F33" s="7">
        <f t="shared" si="3"/>
        <v>282</v>
      </c>
      <c r="G33" s="7">
        <v>369</v>
      </c>
      <c r="H33" s="7">
        <f t="shared" si="1"/>
        <v>-87</v>
      </c>
      <c r="I33" s="7">
        <f>H33/-(64278+151)*29703</f>
        <v>40.10866224836642</v>
      </c>
    </row>
    <row r="34" spans="1:9" ht="13.5">
      <c r="A34" s="14">
        <v>29</v>
      </c>
      <c r="B34" s="15" t="s">
        <v>395</v>
      </c>
      <c r="C34" s="7">
        <v>786</v>
      </c>
      <c r="D34" s="7">
        <v>5</v>
      </c>
      <c r="E34" s="7">
        <v>11</v>
      </c>
      <c r="F34" s="7">
        <f t="shared" si="3"/>
        <v>770</v>
      </c>
      <c r="G34" s="7">
        <f>896+144</f>
        <v>1040</v>
      </c>
      <c r="H34" s="7">
        <f t="shared" si="1"/>
        <v>-270</v>
      </c>
      <c r="I34" s="7">
        <f>H34/-(64278+151)*29703</f>
        <v>124.47515870182683</v>
      </c>
    </row>
    <row r="35" spans="1:9" ht="13.5">
      <c r="A35" s="14">
        <v>30</v>
      </c>
      <c r="B35" s="15" t="s">
        <v>401</v>
      </c>
      <c r="C35" s="7">
        <v>618</v>
      </c>
      <c r="D35" s="7">
        <v>1</v>
      </c>
      <c r="E35" s="7">
        <v>2</v>
      </c>
      <c r="F35" s="7">
        <f t="shared" si="3"/>
        <v>615</v>
      </c>
      <c r="G35" s="7">
        <f>350+641</f>
        <v>991</v>
      </c>
      <c r="H35" s="7">
        <f t="shared" si="1"/>
        <v>-376</v>
      </c>
      <c r="I35" s="7">
        <f>H35/-(64278+151)*29703</f>
        <v>173.34318396995144</v>
      </c>
    </row>
    <row r="36" spans="1:9" ht="13.5">
      <c r="A36" s="40">
        <v>31</v>
      </c>
      <c r="B36" s="41" t="s">
        <v>430</v>
      </c>
      <c r="C36" s="10">
        <v>63</v>
      </c>
      <c r="D36" s="10">
        <v>0</v>
      </c>
      <c r="E36" s="10">
        <v>0</v>
      </c>
      <c r="F36" s="10">
        <f t="shared" si="3"/>
        <v>63</v>
      </c>
      <c r="G36" s="10">
        <v>63</v>
      </c>
      <c r="H36" s="7">
        <f t="shared" si="1"/>
        <v>0</v>
      </c>
      <c r="I36" s="7">
        <f>H36/-(64278+151)*27942</f>
        <v>0</v>
      </c>
    </row>
    <row r="37" spans="1:9" ht="19.5" customHeight="1">
      <c r="A37" s="66" t="s">
        <v>2</v>
      </c>
      <c r="B37" s="66"/>
      <c r="C37" s="22">
        <f aca="true" t="shared" si="5" ref="C37:I37">SUM(C6:C36)</f>
        <v>60338</v>
      </c>
      <c r="D37" s="22">
        <f t="shared" si="5"/>
        <v>574</v>
      </c>
      <c r="E37" s="22">
        <f t="shared" si="5"/>
        <v>766</v>
      </c>
      <c r="F37" s="22">
        <f t="shared" si="5"/>
        <v>58998</v>
      </c>
      <c r="G37" s="22">
        <f t="shared" si="5"/>
        <v>123276</v>
      </c>
      <c r="H37" s="22">
        <f t="shared" si="5"/>
        <v>-64278</v>
      </c>
      <c r="I37" s="22">
        <f t="shared" si="5"/>
        <v>29702.999999999996</v>
      </c>
    </row>
    <row r="38" ht="12.75">
      <c r="D38" s="26"/>
    </row>
  </sheetData>
  <mergeCells count="12">
    <mergeCell ref="G4:G5"/>
    <mergeCell ref="H4:H5"/>
    <mergeCell ref="A1:I1"/>
    <mergeCell ref="A2:I2"/>
    <mergeCell ref="I4:I5"/>
    <mergeCell ref="D4:D5"/>
    <mergeCell ref="E4:E5"/>
    <mergeCell ref="F4:F5"/>
    <mergeCell ref="A37:B37"/>
    <mergeCell ref="A4:A5"/>
    <mergeCell ref="B4:B5"/>
    <mergeCell ref="C4:C5"/>
  </mergeCells>
  <printOptions horizontalCentered="1"/>
  <pageMargins left="0.85" right="0.46" top="0.77" bottom="0.6" header="0.25" footer="0.35"/>
  <pageSetup horizontalDpi="600" verticalDpi="600" orientation="portrait" paperSize="14" r:id="rId1"/>
  <headerFooter alignWithMargins="0">
    <oddFooter>&amp;C&amp;"Arial Narrow,Regular"&amp;9&amp;P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4"/>
  <sheetViews>
    <sheetView workbookViewId="0" topLeftCell="A414">
      <selection activeCell="A1" sqref="A1:I1"/>
    </sheetView>
  </sheetViews>
  <sheetFormatPr defaultColWidth="9.140625" defaultRowHeight="12.75"/>
  <cols>
    <col min="1" max="1" width="4.8515625" style="0" customWidth="1"/>
    <col min="2" max="2" width="22.140625" style="0" bestFit="1" customWidth="1"/>
    <col min="3" max="3" width="7.28125" style="0" customWidth="1"/>
    <col min="4" max="4" width="5.421875" style="0" customWidth="1"/>
    <col min="5" max="5" width="5.8515625" style="0" customWidth="1"/>
    <col min="6" max="7" width="7.28125" style="0" customWidth="1"/>
    <col min="8" max="8" width="9.28125" style="0" customWidth="1"/>
  </cols>
  <sheetData>
    <row r="1" spans="1:9" ht="12.75">
      <c r="A1" s="70" t="s">
        <v>441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1" t="s">
        <v>446</v>
      </c>
      <c r="B2" s="71"/>
      <c r="C2" s="71"/>
      <c r="D2" s="71"/>
      <c r="E2" s="71"/>
      <c r="F2" s="71"/>
      <c r="G2" s="71"/>
      <c r="H2" s="71"/>
      <c r="I2" s="71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9" ht="12.75" customHeight="1">
      <c r="A4" s="67" t="s">
        <v>0</v>
      </c>
      <c r="B4" s="67" t="s">
        <v>1</v>
      </c>
      <c r="C4" s="68" t="s">
        <v>483</v>
      </c>
      <c r="D4" s="72" t="s">
        <v>447</v>
      </c>
      <c r="E4" s="68" t="s">
        <v>442</v>
      </c>
      <c r="F4" s="68" t="s">
        <v>443</v>
      </c>
      <c r="G4" s="68" t="s">
        <v>444</v>
      </c>
      <c r="H4" s="69" t="s">
        <v>490</v>
      </c>
      <c r="I4" s="69" t="s">
        <v>496</v>
      </c>
    </row>
    <row r="5" spans="1:9" ht="31.5" customHeight="1">
      <c r="A5" s="67"/>
      <c r="B5" s="67"/>
      <c r="C5" s="68"/>
      <c r="D5" s="73"/>
      <c r="E5" s="68"/>
      <c r="F5" s="68"/>
      <c r="G5" s="68"/>
      <c r="H5" s="69"/>
      <c r="I5" s="69"/>
    </row>
    <row r="6" spans="1:9" ht="13.5">
      <c r="A6" s="11" t="s">
        <v>448</v>
      </c>
      <c r="B6" s="12" t="s">
        <v>3</v>
      </c>
      <c r="C6" s="13">
        <f>SUM(C7:C26)</f>
        <v>810</v>
      </c>
      <c r="D6" s="13">
        <f>SUM(D7:D26)</f>
        <v>0</v>
      </c>
      <c r="E6" s="13">
        <f>SUM(E7:E26)</f>
        <v>1</v>
      </c>
      <c r="F6" s="13">
        <f>C6-E6-D6</f>
        <v>809</v>
      </c>
      <c r="G6" s="13">
        <f>SUM(G7:G26)</f>
        <v>841</v>
      </c>
      <c r="H6" s="13">
        <f>SUM(H7:H26)</f>
        <v>-32</v>
      </c>
      <c r="I6" s="23">
        <f>H6/1484*-141</f>
        <v>3.0404312668463613</v>
      </c>
    </row>
    <row r="7" spans="1:9" ht="13.5">
      <c r="A7" s="1">
        <v>1</v>
      </c>
      <c r="B7" s="2" t="s">
        <v>4</v>
      </c>
      <c r="C7" s="3">
        <v>34</v>
      </c>
      <c r="D7" s="3"/>
      <c r="E7" s="3"/>
      <c r="F7" s="3">
        <f aca="true" t="shared" si="0" ref="F7:F70">C7-E7-D7</f>
        <v>34</v>
      </c>
      <c r="G7" s="3">
        <v>34</v>
      </c>
      <c r="H7" s="16">
        <v>0</v>
      </c>
      <c r="I7" s="21">
        <f>H7/32*-12</f>
        <v>0</v>
      </c>
    </row>
    <row r="8" spans="1:9" ht="13.5">
      <c r="A8" s="1">
        <v>2</v>
      </c>
      <c r="B8" s="2" t="s">
        <v>5</v>
      </c>
      <c r="C8" s="3">
        <v>12</v>
      </c>
      <c r="D8" s="3"/>
      <c r="E8" s="3">
        <v>1</v>
      </c>
      <c r="F8" s="3">
        <f t="shared" si="0"/>
        <v>11</v>
      </c>
      <c r="G8" s="3">
        <v>11</v>
      </c>
      <c r="H8" s="16">
        <f aca="true" t="shared" si="1" ref="H8:H70">F8-G8</f>
        <v>0</v>
      </c>
      <c r="I8" s="21">
        <f aca="true" t="shared" si="2" ref="I8:I26">H8/32*-12</f>
        <v>0</v>
      </c>
    </row>
    <row r="9" spans="1:9" ht="13.5">
      <c r="A9" s="1">
        <v>3</v>
      </c>
      <c r="B9" s="2" t="s">
        <v>6</v>
      </c>
      <c r="C9" s="3">
        <v>12</v>
      </c>
      <c r="D9" s="3"/>
      <c r="E9" s="3"/>
      <c r="F9" s="3">
        <f t="shared" si="0"/>
        <v>12</v>
      </c>
      <c r="G9" s="3">
        <v>12</v>
      </c>
      <c r="H9" s="16">
        <v>0</v>
      </c>
      <c r="I9" s="21">
        <f t="shared" si="2"/>
        <v>0</v>
      </c>
    </row>
    <row r="10" spans="1:9" ht="13.5">
      <c r="A10" s="1">
        <v>4</v>
      </c>
      <c r="B10" s="2" t="s">
        <v>7</v>
      </c>
      <c r="C10" s="3">
        <v>76</v>
      </c>
      <c r="D10" s="3"/>
      <c r="E10" s="3"/>
      <c r="F10" s="3">
        <f t="shared" si="0"/>
        <v>76</v>
      </c>
      <c r="G10" s="3">
        <v>87</v>
      </c>
      <c r="H10" s="16">
        <f t="shared" si="1"/>
        <v>-11</v>
      </c>
      <c r="I10" s="21">
        <f aca="true" t="shared" si="3" ref="I10:I15">H10/32*-3</f>
        <v>1.03125</v>
      </c>
    </row>
    <row r="11" spans="1:9" ht="13.5">
      <c r="A11" s="1">
        <v>5</v>
      </c>
      <c r="B11" s="2" t="s">
        <v>8</v>
      </c>
      <c r="C11" s="3">
        <v>60</v>
      </c>
      <c r="D11" s="3"/>
      <c r="E11" s="3"/>
      <c r="F11" s="3">
        <f t="shared" si="0"/>
        <v>60</v>
      </c>
      <c r="G11" s="3">
        <v>60</v>
      </c>
      <c r="H11" s="16">
        <v>0</v>
      </c>
      <c r="I11" s="21">
        <f t="shared" si="3"/>
        <v>0</v>
      </c>
    </row>
    <row r="12" spans="1:9" ht="13.5">
      <c r="A12" s="1">
        <v>6</v>
      </c>
      <c r="B12" s="2" t="s">
        <v>9</v>
      </c>
      <c r="C12" s="3">
        <v>153</v>
      </c>
      <c r="D12" s="3"/>
      <c r="E12" s="3"/>
      <c r="F12" s="3">
        <f t="shared" si="0"/>
        <v>153</v>
      </c>
      <c r="G12" s="3">
        <v>169</v>
      </c>
      <c r="H12" s="16">
        <f t="shared" si="1"/>
        <v>-16</v>
      </c>
      <c r="I12" s="21">
        <f t="shared" si="3"/>
        <v>1.5</v>
      </c>
    </row>
    <row r="13" spans="1:9" ht="13.5">
      <c r="A13" s="1">
        <v>7</v>
      </c>
      <c r="B13" s="2" t="s">
        <v>10</v>
      </c>
      <c r="C13" s="3">
        <v>53</v>
      </c>
      <c r="D13" s="3"/>
      <c r="E13" s="3"/>
      <c r="F13" s="3">
        <f t="shared" si="0"/>
        <v>53</v>
      </c>
      <c r="G13" s="3">
        <v>53</v>
      </c>
      <c r="H13" s="16">
        <v>0</v>
      </c>
      <c r="I13" s="21">
        <f t="shared" si="3"/>
        <v>0</v>
      </c>
    </row>
    <row r="14" spans="1:9" ht="13.5">
      <c r="A14" s="1">
        <v>8</v>
      </c>
      <c r="B14" s="2" t="s">
        <v>11</v>
      </c>
      <c r="C14" s="3">
        <v>32</v>
      </c>
      <c r="D14" s="3"/>
      <c r="E14" s="3"/>
      <c r="F14" s="3">
        <f t="shared" si="0"/>
        <v>32</v>
      </c>
      <c r="G14" s="3">
        <v>32</v>
      </c>
      <c r="H14" s="16">
        <v>0</v>
      </c>
      <c r="I14" s="21">
        <f t="shared" si="3"/>
        <v>0</v>
      </c>
    </row>
    <row r="15" spans="1:9" ht="13.5">
      <c r="A15" s="1">
        <v>9</v>
      </c>
      <c r="B15" s="2" t="s">
        <v>12</v>
      </c>
      <c r="C15" s="3">
        <v>5</v>
      </c>
      <c r="D15" s="3"/>
      <c r="E15" s="3"/>
      <c r="F15" s="3">
        <f t="shared" si="0"/>
        <v>5</v>
      </c>
      <c r="G15" s="3">
        <v>10</v>
      </c>
      <c r="H15" s="16">
        <f t="shared" si="1"/>
        <v>-5</v>
      </c>
      <c r="I15" s="21">
        <f t="shared" si="3"/>
        <v>0.46875</v>
      </c>
    </row>
    <row r="16" spans="1:9" ht="13.5">
      <c r="A16" s="1">
        <v>10</v>
      </c>
      <c r="B16" s="2" t="s">
        <v>13</v>
      </c>
      <c r="C16" s="3">
        <v>8</v>
      </c>
      <c r="D16" s="3"/>
      <c r="E16" s="3"/>
      <c r="F16" s="3">
        <f t="shared" si="0"/>
        <v>8</v>
      </c>
      <c r="G16" s="3">
        <v>8</v>
      </c>
      <c r="H16" s="16">
        <v>0</v>
      </c>
      <c r="I16" s="21">
        <f t="shared" si="2"/>
        <v>0</v>
      </c>
    </row>
    <row r="17" spans="1:9" ht="13.5">
      <c r="A17" s="1">
        <v>11</v>
      </c>
      <c r="B17" s="2" t="s">
        <v>14</v>
      </c>
      <c r="C17" s="3">
        <v>92</v>
      </c>
      <c r="D17" s="3"/>
      <c r="E17" s="3"/>
      <c r="F17" s="3">
        <f t="shared" si="0"/>
        <v>92</v>
      </c>
      <c r="G17" s="3">
        <v>92</v>
      </c>
      <c r="H17" s="16">
        <f t="shared" si="1"/>
        <v>0</v>
      </c>
      <c r="I17" s="21">
        <f t="shared" si="2"/>
        <v>0</v>
      </c>
    </row>
    <row r="18" spans="1:9" ht="13.5">
      <c r="A18" s="1">
        <v>12</v>
      </c>
      <c r="B18" s="2" t="s">
        <v>15</v>
      </c>
      <c r="C18" s="3">
        <v>17</v>
      </c>
      <c r="D18" s="3"/>
      <c r="E18" s="3"/>
      <c r="F18" s="3">
        <f t="shared" si="0"/>
        <v>17</v>
      </c>
      <c r="G18" s="3">
        <v>17</v>
      </c>
      <c r="H18" s="16">
        <f t="shared" si="1"/>
        <v>0</v>
      </c>
      <c r="I18" s="21">
        <f t="shared" si="2"/>
        <v>0</v>
      </c>
    </row>
    <row r="19" spans="1:9" ht="13.5">
      <c r="A19" s="1">
        <v>13</v>
      </c>
      <c r="B19" s="2" t="s">
        <v>16</v>
      </c>
      <c r="C19" s="3">
        <v>2</v>
      </c>
      <c r="D19" s="3"/>
      <c r="E19" s="3"/>
      <c r="F19" s="3">
        <f t="shared" si="0"/>
        <v>2</v>
      </c>
      <c r="G19" s="3">
        <v>2</v>
      </c>
      <c r="H19" s="16">
        <f t="shared" si="1"/>
        <v>0</v>
      </c>
      <c r="I19" s="21">
        <f t="shared" si="2"/>
        <v>0</v>
      </c>
    </row>
    <row r="20" spans="1:9" ht="13.5">
      <c r="A20" s="1">
        <v>14</v>
      </c>
      <c r="B20" s="2" t="s">
        <v>17</v>
      </c>
      <c r="C20" s="3">
        <v>7</v>
      </c>
      <c r="D20" s="3"/>
      <c r="E20" s="3"/>
      <c r="F20" s="3">
        <f t="shared" si="0"/>
        <v>7</v>
      </c>
      <c r="G20" s="3">
        <v>7</v>
      </c>
      <c r="H20" s="16">
        <f t="shared" si="1"/>
        <v>0</v>
      </c>
      <c r="I20" s="21">
        <f t="shared" si="2"/>
        <v>0</v>
      </c>
    </row>
    <row r="21" spans="1:9" ht="13.5">
      <c r="A21" s="1">
        <v>15</v>
      </c>
      <c r="B21" s="2" t="s">
        <v>18</v>
      </c>
      <c r="C21" s="3">
        <v>30</v>
      </c>
      <c r="D21" s="3"/>
      <c r="E21" s="3"/>
      <c r="F21" s="3">
        <f t="shared" si="0"/>
        <v>30</v>
      </c>
      <c r="G21" s="3">
        <v>30</v>
      </c>
      <c r="H21" s="16">
        <f t="shared" si="1"/>
        <v>0</v>
      </c>
      <c r="I21" s="21">
        <f t="shared" si="2"/>
        <v>0</v>
      </c>
    </row>
    <row r="22" spans="1:9" ht="13.5">
      <c r="A22" s="1">
        <v>16</v>
      </c>
      <c r="B22" s="2" t="s">
        <v>19</v>
      </c>
      <c r="C22" s="3">
        <v>4</v>
      </c>
      <c r="D22" s="3"/>
      <c r="E22" s="3"/>
      <c r="F22" s="3">
        <f t="shared" si="0"/>
        <v>4</v>
      </c>
      <c r="G22" s="3">
        <v>4</v>
      </c>
      <c r="H22" s="16">
        <f t="shared" si="1"/>
        <v>0</v>
      </c>
      <c r="I22" s="21">
        <f t="shared" si="2"/>
        <v>0</v>
      </c>
    </row>
    <row r="23" spans="1:9" ht="13.5">
      <c r="A23" s="1">
        <v>17</v>
      </c>
      <c r="B23" s="2" t="s">
        <v>20</v>
      </c>
      <c r="C23" s="3">
        <v>146</v>
      </c>
      <c r="D23" s="3"/>
      <c r="E23" s="3"/>
      <c r="F23" s="3">
        <f t="shared" si="0"/>
        <v>146</v>
      </c>
      <c r="G23" s="3">
        <v>146</v>
      </c>
      <c r="H23" s="16">
        <v>0</v>
      </c>
      <c r="I23" s="21">
        <f t="shared" si="2"/>
        <v>0</v>
      </c>
    </row>
    <row r="24" spans="1:9" ht="13.5">
      <c r="A24" s="1">
        <v>18</v>
      </c>
      <c r="B24" s="2" t="s">
        <v>21</v>
      </c>
      <c r="C24" s="3">
        <v>7</v>
      </c>
      <c r="D24" s="3"/>
      <c r="E24" s="3"/>
      <c r="F24" s="3">
        <f t="shared" si="0"/>
        <v>7</v>
      </c>
      <c r="G24" s="3">
        <v>7</v>
      </c>
      <c r="H24" s="16">
        <f t="shared" si="1"/>
        <v>0</v>
      </c>
      <c r="I24" s="21">
        <f t="shared" si="2"/>
        <v>0</v>
      </c>
    </row>
    <row r="25" spans="1:9" ht="13.5">
      <c r="A25" s="1">
        <v>19</v>
      </c>
      <c r="B25" s="2" t="s">
        <v>22</v>
      </c>
      <c r="C25" s="3">
        <v>39</v>
      </c>
      <c r="D25" s="3"/>
      <c r="E25" s="3"/>
      <c r="F25" s="3">
        <f t="shared" si="0"/>
        <v>39</v>
      </c>
      <c r="G25" s="3">
        <v>39</v>
      </c>
      <c r="H25" s="16">
        <f t="shared" si="1"/>
        <v>0</v>
      </c>
      <c r="I25" s="21">
        <f t="shared" si="2"/>
        <v>0</v>
      </c>
    </row>
    <row r="26" spans="1:9" ht="13.5">
      <c r="A26" s="1">
        <v>20</v>
      </c>
      <c r="B26" s="2" t="s">
        <v>23</v>
      </c>
      <c r="C26" s="3">
        <v>21</v>
      </c>
      <c r="D26" s="3"/>
      <c r="E26" s="3"/>
      <c r="F26" s="3">
        <f t="shared" si="0"/>
        <v>21</v>
      </c>
      <c r="G26" s="3">
        <v>21</v>
      </c>
      <c r="H26" s="16">
        <f t="shared" si="1"/>
        <v>0</v>
      </c>
      <c r="I26" s="21">
        <f t="shared" si="2"/>
        <v>0</v>
      </c>
    </row>
    <row r="27" spans="1:9" ht="13.5">
      <c r="A27" s="14" t="s">
        <v>449</v>
      </c>
      <c r="B27" s="15" t="s">
        <v>24</v>
      </c>
      <c r="C27" s="16">
        <f>SUM(C28:C47)</f>
        <v>390</v>
      </c>
      <c r="D27" s="16">
        <f>SUM(D28:D47)</f>
        <v>0</v>
      </c>
      <c r="E27" s="16">
        <f>SUM(E28:E47)</f>
        <v>6</v>
      </c>
      <c r="F27" s="16">
        <f t="shared" si="0"/>
        <v>384</v>
      </c>
      <c r="G27" s="16">
        <f>SUM(G28:G47)</f>
        <v>394</v>
      </c>
      <c r="H27" s="16">
        <f>SUM(H28:H47)</f>
        <v>-10</v>
      </c>
      <c r="I27" s="23">
        <f>H27/1484*-141</f>
        <v>0.950134770889488</v>
      </c>
    </row>
    <row r="28" spans="1:9" ht="13.5">
      <c r="A28" s="1">
        <v>1</v>
      </c>
      <c r="B28" s="2" t="s">
        <v>25</v>
      </c>
      <c r="C28" s="3">
        <v>1</v>
      </c>
      <c r="D28" s="3"/>
      <c r="E28" s="3"/>
      <c r="F28" s="3">
        <f t="shared" si="0"/>
        <v>1</v>
      </c>
      <c r="G28" s="3">
        <v>3</v>
      </c>
      <c r="H28" s="16">
        <f t="shared" si="1"/>
        <v>-2</v>
      </c>
      <c r="I28" s="21">
        <f>H28/10*-1</f>
        <v>0.2</v>
      </c>
    </row>
    <row r="29" spans="1:9" ht="13.5">
      <c r="A29" s="1">
        <v>2</v>
      </c>
      <c r="B29" s="2" t="s">
        <v>26</v>
      </c>
      <c r="C29" s="3"/>
      <c r="D29" s="3"/>
      <c r="E29" s="3"/>
      <c r="F29" s="3">
        <f t="shared" si="0"/>
        <v>0</v>
      </c>
      <c r="G29" s="3">
        <v>0</v>
      </c>
      <c r="H29" s="16">
        <f t="shared" si="1"/>
        <v>0</v>
      </c>
      <c r="I29" s="21">
        <f aca="true" t="shared" si="4" ref="I29:I44">H29/10*-1</f>
        <v>0</v>
      </c>
    </row>
    <row r="30" spans="1:9" ht="13.5">
      <c r="A30" s="1">
        <v>3</v>
      </c>
      <c r="B30" s="2" t="s">
        <v>27</v>
      </c>
      <c r="C30" s="3">
        <v>2</v>
      </c>
      <c r="D30" s="3"/>
      <c r="E30" s="3"/>
      <c r="F30" s="3">
        <f t="shared" si="0"/>
        <v>2</v>
      </c>
      <c r="G30" s="3">
        <v>2</v>
      </c>
      <c r="H30" s="16">
        <f t="shared" si="1"/>
        <v>0</v>
      </c>
      <c r="I30" s="21">
        <f t="shared" si="4"/>
        <v>0</v>
      </c>
    </row>
    <row r="31" spans="1:9" ht="13.5">
      <c r="A31" s="1">
        <v>4</v>
      </c>
      <c r="B31" s="2" t="s">
        <v>28</v>
      </c>
      <c r="C31" s="3">
        <v>10</v>
      </c>
      <c r="D31" s="3"/>
      <c r="E31" s="3"/>
      <c r="F31" s="3">
        <f t="shared" si="0"/>
        <v>10</v>
      </c>
      <c r="G31" s="3">
        <v>10</v>
      </c>
      <c r="H31" s="16">
        <v>0</v>
      </c>
      <c r="I31" s="21">
        <f t="shared" si="4"/>
        <v>0</v>
      </c>
    </row>
    <row r="32" spans="1:9" ht="13.5">
      <c r="A32" s="1">
        <v>5</v>
      </c>
      <c r="B32" s="2" t="s">
        <v>29</v>
      </c>
      <c r="C32" s="3">
        <v>13</v>
      </c>
      <c r="D32" s="3"/>
      <c r="E32" s="3"/>
      <c r="F32" s="3">
        <f t="shared" si="0"/>
        <v>13</v>
      </c>
      <c r="G32" s="3">
        <v>13</v>
      </c>
      <c r="H32" s="16">
        <f t="shared" si="1"/>
        <v>0</v>
      </c>
      <c r="I32" s="21">
        <f t="shared" si="4"/>
        <v>0</v>
      </c>
    </row>
    <row r="33" spans="1:9" ht="13.5">
      <c r="A33" s="1">
        <v>6</v>
      </c>
      <c r="B33" s="2" t="s">
        <v>30</v>
      </c>
      <c r="C33" s="3">
        <v>18</v>
      </c>
      <c r="D33" s="3"/>
      <c r="E33" s="3"/>
      <c r="F33" s="3">
        <f t="shared" si="0"/>
        <v>18</v>
      </c>
      <c r="G33" s="3">
        <v>19</v>
      </c>
      <c r="H33" s="16">
        <f t="shared" si="1"/>
        <v>-1</v>
      </c>
      <c r="I33" s="21">
        <f t="shared" si="4"/>
        <v>0.1</v>
      </c>
    </row>
    <row r="34" spans="1:9" ht="13.5">
      <c r="A34" s="1">
        <v>7</v>
      </c>
      <c r="B34" s="2" t="s">
        <v>31</v>
      </c>
      <c r="C34" s="3">
        <v>7</v>
      </c>
      <c r="D34" s="3"/>
      <c r="E34" s="3"/>
      <c r="F34" s="3">
        <f t="shared" si="0"/>
        <v>7</v>
      </c>
      <c r="G34" s="3">
        <v>7</v>
      </c>
      <c r="H34" s="16">
        <f t="shared" si="1"/>
        <v>0</v>
      </c>
      <c r="I34" s="21">
        <f t="shared" si="4"/>
        <v>0</v>
      </c>
    </row>
    <row r="35" spans="1:9" ht="13.5">
      <c r="A35" s="1">
        <v>8</v>
      </c>
      <c r="B35" s="2" t="s">
        <v>32</v>
      </c>
      <c r="C35" s="3"/>
      <c r="D35" s="3"/>
      <c r="E35" s="3"/>
      <c r="F35" s="3">
        <f t="shared" si="0"/>
        <v>0</v>
      </c>
      <c r="G35" s="3">
        <v>0</v>
      </c>
      <c r="H35" s="16">
        <f t="shared" si="1"/>
        <v>0</v>
      </c>
      <c r="I35" s="21">
        <f t="shared" si="4"/>
        <v>0</v>
      </c>
    </row>
    <row r="36" spans="1:9" ht="13.5">
      <c r="A36" s="1">
        <v>9</v>
      </c>
      <c r="B36" s="2" t="s">
        <v>33</v>
      </c>
      <c r="C36" s="3">
        <v>18</v>
      </c>
      <c r="D36" s="3"/>
      <c r="E36" s="3"/>
      <c r="F36" s="3">
        <f t="shared" si="0"/>
        <v>18</v>
      </c>
      <c r="G36" s="3">
        <v>18</v>
      </c>
      <c r="H36" s="16">
        <f t="shared" si="1"/>
        <v>0</v>
      </c>
      <c r="I36" s="21">
        <f t="shared" si="4"/>
        <v>0</v>
      </c>
    </row>
    <row r="37" spans="1:9" ht="13.5">
      <c r="A37" s="1">
        <v>10</v>
      </c>
      <c r="B37" s="2" t="s">
        <v>34</v>
      </c>
      <c r="C37" s="3">
        <v>29</v>
      </c>
      <c r="D37" s="3"/>
      <c r="E37" s="3"/>
      <c r="F37" s="3">
        <f t="shared" si="0"/>
        <v>29</v>
      </c>
      <c r="G37" s="3">
        <v>29</v>
      </c>
      <c r="H37" s="16">
        <v>0</v>
      </c>
      <c r="I37" s="21">
        <f t="shared" si="4"/>
        <v>0</v>
      </c>
    </row>
    <row r="38" spans="1:9" ht="13.5">
      <c r="A38" s="1">
        <v>11</v>
      </c>
      <c r="B38" s="2" t="s">
        <v>35</v>
      </c>
      <c r="C38" s="3">
        <v>20</v>
      </c>
      <c r="D38" s="3"/>
      <c r="E38" s="3"/>
      <c r="F38" s="3">
        <f t="shared" si="0"/>
        <v>20</v>
      </c>
      <c r="G38" s="3">
        <v>20</v>
      </c>
      <c r="H38" s="16">
        <v>0</v>
      </c>
      <c r="I38" s="21">
        <f t="shared" si="4"/>
        <v>0</v>
      </c>
    </row>
    <row r="39" spans="1:9" ht="13.5">
      <c r="A39" s="1">
        <v>12</v>
      </c>
      <c r="B39" s="2" t="s">
        <v>36</v>
      </c>
      <c r="C39" s="3">
        <v>2</v>
      </c>
      <c r="D39" s="3"/>
      <c r="E39" s="3"/>
      <c r="F39" s="3">
        <f t="shared" si="0"/>
        <v>2</v>
      </c>
      <c r="G39" s="3">
        <v>4</v>
      </c>
      <c r="H39" s="16">
        <f t="shared" si="1"/>
        <v>-2</v>
      </c>
      <c r="I39" s="21">
        <v>1</v>
      </c>
    </row>
    <row r="40" spans="1:9" ht="13.5">
      <c r="A40" s="1">
        <v>13</v>
      </c>
      <c r="B40" s="2" t="s">
        <v>37</v>
      </c>
      <c r="C40" s="3">
        <v>6</v>
      </c>
      <c r="D40" s="3"/>
      <c r="E40" s="3"/>
      <c r="F40" s="3">
        <f t="shared" si="0"/>
        <v>6</v>
      </c>
      <c r="G40" s="3">
        <v>7</v>
      </c>
      <c r="H40" s="16">
        <f t="shared" si="1"/>
        <v>-1</v>
      </c>
      <c r="I40" s="21">
        <f t="shared" si="4"/>
        <v>0.1</v>
      </c>
    </row>
    <row r="41" spans="1:9" ht="13.5">
      <c r="A41" s="1">
        <v>14</v>
      </c>
      <c r="B41" s="2" t="s">
        <v>38</v>
      </c>
      <c r="C41" s="3">
        <v>7</v>
      </c>
      <c r="D41" s="3"/>
      <c r="E41" s="3"/>
      <c r="F41" s="3">
        <f t="shared" si="0"/>
        <v>7</v>
      </c>
      <c r="G41" s="3">
        <v>7</v>
      </c>
      <c r="H41" s="16">
        <f t="shared" si="1"/>
        <v>0</v>
      </c>
      <c r="I41" s="21">
        <f t="shared" si="4"/>
        <v>0</v>
      </c>
    </row>
    <row r="42" spans="1:9" ht="13.5">
      <c r="A42" s="1">
        <v>15</v>
      </c>
      <c r="B42" s="2" t="s">
        <v>39</v>
      </c>
      <c r="C42" s="3">
        <v>8</v>
      </c>
      <c r="D42" s="3"/>
      <c r="E42" s="3">
        <v>1</v>
      </c>
      <c r="F42" s="3">
        <f t="shared" si="0"/>
        <v>7</v>
      </c>
      <c r="G42" s="3">
        <v>9</v>
      </c>
      <c r="H42" s="16">
        <f t="shared" si="1"/>
        <v>-2</v>
      </c>
      <c r="I42" s="21">
        <f t="shared" si="4"/>
        <v>0.2</v>
      </c>
    </row>
    <row r="43" spans="1:9" ht="13.5">
      <c r="A43" s="1">
        <v>16</v>
      </c>
      <c r="B43" s="2" t="s">
        <v>40</v>
      </c>
      <c r="C43" s="3">
        <v>17</v>
      </c>
      <c r="D43" s="3"/>
      <c r="E43" s="3"/>
      <c r="F43" s="3">
        <f t="shared" si="0"/>
        <v>17</v>
      </c>
      <c r="G43" s="3">
        <v>17</v>
      </c>
      <c r="H43" s="16">
        <v>0</v>
      </c>
      <c r="I43" s="21">
        <f t="shared" si="4"/>
        <v>0</v>
      </c>
    </row>
    <row r="44" spans="1:9" ht="13.5">
      <c r="A44" s="1">
        <v>17</v>
      </c>
      <c r="B44" s="2" t="s">
        <v>41</v>
      </c>
      <c r="C44" s="3">
        <v>3</v>
      </c>
      <c r="D44" s="3"/>
      <c r="E44" s="3"/>
      <c r="F44" s="3">
        <f t="shared" si="0"/>
        <v>3</v>
      </c>
      <c r="G44" s="3">
        <v>5</v>
      </c>
      <c r="H44" s="16">
        <f t="shared" si="1"/>
        <v>-2</v>
      </c>
      <c r="I44" s="21">
        <f t="shared" si="4"/>
        <v>0.2</v>
      </c>
    </row>
    <row r="45" spans="1:9" ht="13.5">
      <c r="A45" s="1">
        <v>18</v>
      </c>
      <c r="B45" s="2" t="s">
        <v>42</v>
      </c>
      <c r="C45" s="3">
        <v>210</v>
      </c>
      <c r="D45" s="3"/>
      <c r="E45" s="3">
        <v>5</v>
      </c>
      <c r="F45" s="3">
        <f t="shared" si="0"/>
        <v>205</v>
      </c>
      <c r="G45" s="3">
        <v>205</v>
      </c>
      <c r="H45" s="16">
        <v>0</v>
      </c>
      <c r="I45" s="21">
        <f>H45/10*-4</f>
        <v>0</v>
      </c>
    </row>
    <row r="46" spans="1:9" ht="13.5">
      <c r="A46" s="1">
        <v>19</v>
      </c>
      <c r="B46" s="2" t="s">
        <v>43</v>
      </c>
      <c r="C46" s="3">
        <v>8</v>
      </c>
      <c r="D46" s="3"/>
      <c r="E46" s="3"/>
      <c r="F46" s="3">
        <f t="shared" si="0"/>
        <v>8</v>
      </c>
      <c r="G46" s="3">
        <v>8</v>
      </c>
      <c r="H46" s="16">
        <f t="shared" si="1"/>
        <v>0</v>
      </c>
      <c r="I46" s="21">
        <f>H46/10*-4</f>
        <v>0</v>
      </c>
    </row>
    <row r="47" spans="1:9" ht="13.5">
      <c r="A47" s="1">
        <v>20</v>
      </c>
      <c r="B47" s="2" t="s">
        <v>44</v>
      </c>
      <c r="C47" s="3">
        <v>11</v>
      </c>
      <c r="D47" s="3"/>
      <c r="E47" s="3"/>
      <c r="F47" s="3">
        <f t="shared" si="0"/>
        <v>11</v>
      </c>
      <c r="G47" s="3">
        <v>11</v>
      </c>
      <c r="H47" s="16">
        <f t="shared" si="1"/>
        <v>0</v>
      </c>
      <c r="I47" s="21">
        <f>H47/10*-4</f>
        <v>0</v>
      </c>
    </row>
    <row r="48" spans="1:9" ht="13.5">
      <c r="A48" s="14" t="s">
        <v>450</v>
      </c>
      <c r="B48" s="15" t="s">
        <v>45</v>
      </c>
      <c r="C48" s="16">
        <f>SUM(C49:C64)</f>
        <v>765</v>
      </c>
      <c r="D48" s="16">
        <f>SUM(D49:D64)</f>
        <v>2</v>
      </c>
      <c r="E48" s="16">
        <f>SUM(E49:E64)</f>
        <v>15</v>
      </c>
      <c r="F48" s="16">
        <f t="shared" si="0"/>
        <v>748</v>
      </c>
      <c r="G48" s="16">
        <f>SUM(G49:G64)</f>
        <v>824</v>
      </c>
      <c r="H48" s="16">
        <f>SUM(H49:H64)</f>
        <v>-76</v>
      </c>
      <c r="I48" s="23">
        <f>H48/1484*-141</f>
        <v>7.2210242587601075</v>
      </c>
    </row>
    <row r="49" spans="1:9" ht="13.5">
      <c r="A49" s="1">
        <v>1</v>
      </c>
      <c r="B49" s="2" t="s">
        <v>46</v>
      </c>
      <c r="C49" s="3">
        <v>47</v>
      </c>
      <c r="D49" s="3"/>
      <c r="E49" s="3"/>
      <c r="F49" s="3">
        <f t="shared" si="0"/>
        <v>47</v>
      </c>
      <c r="G49" s="3">
        <v>77</v>
      </c>
      <c r="H49" s="16">
        <f t="shared" si="1"/>
        <v>-30</v>
      </c>
      <c r="I49" s="21">
        <f>H49/76*-7</f>
        <v>2.763157894736842</v>
      </c>
    </row>
    <row r="50" spans="1:9" ht="13.5">
      <c r="A50" s="1">
        <v>2</v>
      </c>
      <c r="B50" s="2" t="s">
        <v>47</v>
      </c>
      <c r="C50" s="3">
        <v>40</v>
      </c>
      <c r="D50" s="3"/>
      <c r="E50" s="3"/>
      <c r="F50" s="3">
        <f t="shared" si="0"/>
        <v>40</v>
      </c>
      <c r="G50" s="3">
        <v>40</v>
      </c>
      <c r="H50" s="16">
        <f t="shared" si="1"/>
        <v>0</v>
      </c>
      <c r="I50" s="21">
        <f aca="true" t="shared" si="5" ref="I50:I55">H50/76*-7</f>
        <v>0</v>
      </c>
    </row>
    <row r="51" spans="1:9" ht="13.5">
      <c r="A51" s="1">
        <v>3</v>
      </c>
      <c r="B51" s="2" t="s">
        <v>48</v>
      </c>
      <c r="C51" s="3">
        <v>27</v>
      </c>
      <c r="D51" s="3"/>
      <c r="E51" s="3"/>
      <c r="F51" s="3">
        <f t="shared" si="0"/>
        <v>27</v>
      </c>
      <c r="G51" s="3">
        <v>27</v>
      </c>
      <c r="H51" s="16">
        <f t="shared" si="1"/>
        <v>0</v>
      </c>
      <c r="I51" s="21">
        <f t="shared" si="5"/>
        <v>0</v>
      </c>
    </row>
    <row r="52" spans="1:9" ht="13.5">
      <c r="A52" s="1">
        <v>4</v>
      </c>
      <c r="B52" s="2" t="s">
        <v>49</v>
      </c>
      <c r="C52" s="3">
        <v>73</v>
      </c>
      <c r="D52" s="3"/>
      <c r="E52" s="3"/>
      <c r="F52" s="3">
        <f t="shared" si="0"/>
        <v>73</v>
      </c>
      <c r="G52" s="3">
        <v>73</v>
      </c>
      <c r="H52" s="16">
        <v>0</v>
      </c>
      <c r="I52" s="21">
        <f t="shared" si="5"/>
        <v>0</v>
      </c>
    </row>
    <row r="53" spans="1:9" ht="13.5">
      <c r="A53" s="1">
        <v>5</v>
      </c>
      <c r="B53" s="2" t="s">
        <v>50</v>
      </c>
      <c r="C53" s="3">
        <v>48</v>
      </c>
      <c r="D53" s="3"/>
      <c r="E53" s="3">
        <v>2</v>
      </c>
      <c r="F53" s="3">
        <f t="shared" si="0"/>
        <v>46</v>
      </c>
      <c r="G53" s="3">
        <v>81</v>
      </c>
      <c r="H53" s="16">
        <f t="shared" si="1"/>
        <v>-35</v>
      </c>
      <c r="I53" s="21">
        <f t="shared" si="5"/>
        <v>3.223684210526316</v>
      </c>
    </row>
    <row r="54" spans="1:9" ht="13.5">
      <c r="A54" s="1">
        <v>6</v>
      </c>
      <c r="B54" s="2" t="s">
        <v>51</v>
      </c>
      <c r="C54" s="3">
        <v>66</v>
      </c>
      <c r="D54" s="3">
        <v>1</v>
      </c>
      <c r="E54" s="3"/>
      <c r="F54" s="3">
        <f t="shared" si="0"/>
        <v>65</v>
      </c>
      <c r="G54" s="3">
        <v>65</v>
      </c>
      <c r="H54" s="16">
        <v>0</v>
      </c>
      <c r="I54" s="21">
        <f t="shared" si="5"/>
        <v>0</v>
      </c>
    </row>
    <row r="55" spans="1:9" ht="13.5">
      <c r="A55" s="1">
        <v>7</v>
      </c>
      <c r="B55" s="2" t="s">
        <v>52</v>
      </c>
      <c r="C55" s="3">
        <v>72</v>
      </c>
      <c r="D55" s="3"/>
      <c r="E55" s="3">
        <v>3</v>
      </c>
      <c r="F55" s="3">
        <f t="shared" si="0"/>
        <v>69</v>
      </c>
      <c r="G55" s="3">
        <v>80</v>
      </c>
      <c r="H55" s="16">
        <f t="shared" si="1"/>
        <v>-11</v>
      </c>
      <c r="I55" s="21">
        <f t="shared" si="5"/>
        <v>1.013157894736842</v>
      </c>
    </row>
    <row r="56" spans="1:9" ht="13.5">
      <c r="A56" s="1">
        <v>8</v>
      </c>
      <c r="B56" s="2" t="s">
        <v>53</v>
      </c>
      <c r="C56" s="3">
        <v>24</v>
      </c>
      <c r="D56" s="3"/>
      <c r="E56" s="3"/>
      <c r="F56" s="3">
        <f t="shared" si="0"/>
        <v>24</v>
      </c>
      <c r="G56" s="3">
        <v>24</v>
      </c>
      <c r="H56" s="16">
        <v>0</v>
      </c>
      <c r="I56" s="21">
        <f aca="true" t="shared" si="6" ref="I56:I64">H56/76*-28</f>
        <v>0</v>
      </c>
    </row>
    <row r="57" spans="1:9" ht="13.5">
      <c r="A57" s="1">
        <v>9</v>
      </c>
      <c r="B57" s="2" t="s">
        <v>54</v>
      </c>
      <c r="C57" s="3"/>
      <c r="D57" s="3"/>
      <c r="E57" s="3"/>
      <c r="F57" s="3">
        <f t="shared" si="0"/>
        <v>0</v>
      </c>
      <c r="G57" s="3">
        <v>0</v>
      </c>
      <c r="H57" s="16">
        <f t="shared" si="1"/>
        <v>0</v>
      </c>
      <c r="I57" s="21">
        <f t="shared" si="6"/>
        <v>0</v>
      </c>
    </row>
    <row r="58" spans="1:9" ht="13.5">
      <c r="A58" s="1">
        <v>10</v>
      </c>
      <c r="B58" s="2" t="s">
        <v>55</v>
      </c>
      <c r="C58" s="3">
        <v>261</v>
      </c>
      <c r="D58" s="3"/>
      <c r="E58" s="3">
        <v>9</v>
      </c>
      <c r="F58" s="3">
        <f t="shared" si="0"/>
        <v>252</v>
      </c>
      <c r="G58" s="3">
        <v>252</v>
      </c>
      <c r="H58" s="16">
        <v>0</v>
      </c>
      <c r="I58" s="21">
        <f t="shared" si="6"/>
        <v>0</v>
      </c>
    </row>
    <row r="59" spans="1:9" ht="13.5">
      <c r="A59" s="1">
        <v>11</v>
      </c>
      <c r="B59" s="2" t="s">
        <v>56</v>
      </c>
      <c r="C59" s="3">
        <v>14</v>
      </c>
      <c r="D59" s="3"/>
      <c r="E59" s="3"/>
      <c r="F59" s="3">
        <f t="shared" si="0"/>
        <v>14</v>
      </c>
      <c r="G59" s="3">
        <v>14</v>
      </c>
      <c r="H59" s="16">
        <v>0</v>
      </c>
      <c r="I59" s="21">
        <f t="shared" si="6"/>
        <v>0</v>
      </c>
    </row>
    <row r="60" spans="1:9" ht="13.5">
      <c r="A60" s="1">
        <v>12</v>
      </c>
      <c r="B60" s="2" t="s">
        <v>57</v>
      </c>
      <c r="C60" s="3">
        <v>15</v>
      </c>
      <c r="D60" s="3"/>
      <c r="E60" s="3"/>
      <c r="F60" s="3">
        <f t="shared" si="0"/>
        <v>15</v>
      </c>
      <c r="G60" s="3">
        <v>15</v>
      </c>
      <c r="H60" s="16">
        <f t="shared" si="1"/>
        <v>0</v>
      </c>
      <c r="I60" s="21">
        <f t="shared" si="6"/>
        <v>0</v>
      </c>
    </row>
    <row r="61" spans="1:9" ht="13.5">
      <c r="A61" s="1">
        <v>13</v>
      </c>
      <c r="B61" s="2" t="s">
        <v>58</v>
      </c>
      <c r="C61" s="3">
        <v>7</v>
      </c>
      <c r="D61" s="3"/>
      <c r="E61" s="3"/>
      <c r="F61" s="3">
        <f t="shared" si="0"/>
        <v>7</v>
      </c>
      <c r="G61" s="3">
        <v>7</v>
      </c>
      <c r="H61" s="16">
        <f t="shared" si="1"/>
        <v>0</v>
      </c>
      <c r="I61" s="21">
        <f t="shared" si="6"/>
        <v>0</v>
      </c>
    </row>
    <row r="62" spans="1:9" ht="13.5">
      <c r="A62" s="1">
        <v>14</v>
      </c>
      <c r="B62" s="2" t="s">
        <v>59</v>
      </c>
      <c r="C62" s="3">
        <v>29</v>
      </c>
      <c r="D62" s="3">
        <v>1</v>
      </c>
      <c r="E62" s="3">
        <v>1</v>
      </c>
      <c r="F62" s="3">
        <f t="shared" si="0"/>
        <v>27</v>
      </c>
      <c r="G62" s="3">
        <v>27</v>
      </c>
      <c r="H62" s="16">
        <v>0</v>
      </c>
      <c r="I62" s="21">
        <f t="shared" si="6"/>
        <v>0</v>
      </c>
    </row>
    <row r="63" spans="1:9" ht="13.5">
      <c r="A63" s="1">
        <v>15</v>
      </c>
      <c r="B63" s="2" t="s">
        <v>60</v>
      </c>
      <c r="C63" s="3">
        <v>25</v>
      </c>
      <c r="D63" s="3"/>
      <c r="E63" s="3"/>
      <c r="F63" s="3">
        <f t="shared" si="0"/>
        <v>25</v>
      </c>
      <c r="G63" s="3">
        <v>25</v>
      </c>
      <c r="H63" s="16">
        <f t="shared" si="1"/>
        <v>0</v>
      </c>
      <c r="I63" s="21">
        <f t="shared" si="6"/>
        <v>0</v>
      </c>
    </row>
    <row r="64" spans="1:9" ht="13.5">
      <c r="A64" s="1">
        <v>16</v>
      </c>
      <c r="B64" s="2" t="s">
        <v>61</v>
      </c>
      <c r="C64" s="3">
        <v>17</v>
      </c>
      <c r="D64" s="3"/>
      <c r="E64" s="3"/>
      <c r="F64" s="3">
        <f t="shared" si="0"/>
        <v>17</v>
      </c>
      <c r="G64" s="3">
        <v>17</v>
      </c>
      <c r="H64" s="16">
        <f t="shared" si="1"/>
        <v>0</v>
      </c>
      <c r="I64" s="21">
        <f t="shared" si="6"/>
        <v>0</v>
      </c>
    </row>
    <row r="65" spans="1:9" ht="13.5">
      <c r="A65" s="14" t="s">
        <v>451</v>
      </c>
      <c r="B65" s="15" t="s">
        <v>62</v>
      </c>
      <c r="C65" s="16">
        <f>SUM(C66:C76)</f>
        <v>451</v>
      </c>
      <c r="D65" s="16">
        <f>SUM(D66:D76)</f>
        <v>2</v>
      </c>
      <c r="E65" s="16">
        <f>SUM(E66:E76)</f>
        <v>2</v>
      </c>
      <c r="F65" s="16">
        <f t="shared" si="0"/>
        <v>447</v>
      </c>
      <c r="G65" s="16">
        <f>SUM(G66:G76)</f>
        <v>467</v>
      </c>
      <c r="H65" s="16">
        <f>SUM(H66:H76)</f>
        <v>-20</v>
      </c>
      <c r="I65" s="23">
        <f>H65/1484*-141</f>
        <v>1.900269541778976</v>
      </c>
    </row>
    <row r="66" spans="1:9" ht="13.5">
      <c r="A66" s="1">
        <v>1</v>
      </c>
      <c r="B66" s="2" t="s">
        <v>63</v>
      </c>
      <c r="C66" s="3">
        <v>29</v>
      </c>
      <c r="D66" s="3">
        <v>1</v>
      </c>
      <c r="E66" s="3"/>
      <c r="F66" s="3">
        <f t="shared" si="0"/>
        <v>28</v>
      </c>
      <c r="G66" s="3">
        <v>28</v>
      </c>
      <c r="H66" s="16">
        <v>0</v>
      </c>
      <c r="I66" s="21">
        <f>H66/20*-2</f>
        <v>0</v>
      </c>
    </row>
    <row r="67" spans="1:9" ht="13.5">
      <c r="A67" s="1">
        <v>2</v>
      </c>
      <c r="B67" s="2" t="s">
        <v>64</v>
      </c>
      <c r="C67" s="3">
        <v>10</v>
      </c>
      <c r="D67" s="3"/>
      <c r="E67" s="3"/>
      <c r="F67" s="3">
        <f t="shared" si="0"/>
        <v>10</v>
      </c>
      <c r="G67" s="3">
        <v>10</v>
      </c>
      <c r="H67" s="16">
        <f t="shared" si="1"/>
        <v>0</v>
      </c>
      <c r="I67" s="21">
        <f aca="true" t="shared" si="7" ref="I67:I76">H67/20*-2</f>
        <v>0</v>
      </c>
    </row>
    <row r="68" spans="1:9" ht="13.5">
      <c r="A68" s="1">
        <v>3</v>
      </c>
      <c r="B68" s="2" t="s">
        <v>65</v>
      </c>
      <c r="C68" s="3">
        <v>105</v>
      </c>
      <c r="D68" s="3"/>
      <c r="E68" s="3"/>
      <c r="F68" s="3">
        <f t="shared" si="0"/>
        <v>105</v>
      </c>
      <c r="G68" s="3">
        <v>105</v>
      </c>
      <c r="H68" s="16">
        <v>0</v>
      </c>
      <c r="I68" s="21">
        <f t="shared" si="7"/>
        <v>0</v>
      </c>
    </row>
    <row r="69" spans="1:9" ht="13.5">
      <c r="A69" s="1">
        <v>4</v>
      </c>
      <c r="B69" s="2" t="s">
        <v>66</v>
      </c>
      <c r="C69" s="3">
        <v>55</v>
      </c>
      <c r="D69" s="3"/>
      <c r="E69" s="3"/>
      <c r="F69" s="3">
        <f t="shared" si="0"/>
        <v>55</v>
      </c>
      <c r="G69" s="3">
        <v>55</v>
      </c>
      <c r="H69" s="16">
        <f t="shared" si="1"/>
        <v>0</v>
      </c>
      <c r="I69" s="21">
        <f t="shared" si="7"/>
        <v>0</v>
      </c>
    </row>
    <row r="70" spans="1:9" ht="13.5">
      <c r="A70" s="1">
        <v>5</v>
      </c>
      <c r="B70" s="2" t="s">
        <v>67</v>
      </c>
      <c r="C70" s="3">
        <v>2</v>
      </c>
      <c r="D70" s="3"/>
      <c r="E70" s="3"/>
      <c r="F70" s="3">
        <f t="shared" si="0"/>
        <v>2</v>
      </c>
      <c r="G70" s="3">
        <v>3</v>
      </c>
      <c r="H70" s="16">
        <f t="shared" si="1"/>
        <v>-1</v>
      </c>
      <c r="I70" s="21">
        <f t="shared" si="7"/>
        <v>0.1</v>
      </c>
    </row>
    <row r="71" spans="1:9" ht="13.5">
      <c r="A71" s="1">
        <v>6</v>
      </c>
      <c r="B71" s="2" t="s">
        <v>68</v>
      </c>
      <c r="C71" s="3">
        <v>12</v>
      </c>
      <c r="D71" s="3"/>
      <c r="E71" s="3"/>
      <c r="F71" s="3">
        <f aca="true" t="shared" si="8" ref="F71:F134">C71-E71-D71</f>
        <v>12</v>
      </c>
      <c r="G71" s="3">
        <v>25</v>
      </c>
      <c r="H71" s="16">
        <f aca="true" t="shared" si="9" ref="H71:H132">F71-G71</f>
        <v>-13</v>
      </c>
      <c r="I71" s="21">
        <f t="shared" si="7"/>
        <v>1.3</v>
      </c>
    </row>
    <row r="72" spans="1:9" ht="13.5">
      <c r="A72" s="1">
        <v>7</v>
      </c>
      <c r="B72" s="2" t="s">
        <v>69</v>
      </c>
      <c r="C72" s="3">
        <v>5</v>
      </c>
      <c r="D72" s="3"/>
      <c r="E72" s="3"/>
      <c r="F72" s="3">
        <f t="shared" si="8"/>
        <v>5</v>
      </c>
      <c r="G72" s="3">
        <v>5</v>
      </c>
      <c r="H72" s="16">
        <f t="shared" si="9"/>
        <v>0</v>
      </c>
      <c r="I72" s="21">
        <f t="shared" si="7"/>
        <v>0</v>
      </c>
    </row>
    <row r="73" spans="1:9" ht="13.5">
      <c r="A73" s="1">
        <v>8</v>
      </c>
      <c r="B73" s="2" t="s">
        <v>70</v>
      </c>
      <c r="C73" s="3">
        <v>12</v>
      </c>
      <c r="D73" s="3"/>
      <c r="E73" s="3"/>
      <c r="F73" s="3">
        <f t="shared" si="8"/>
        <v>12</v>
      </c>
      <c r="G73" s="3">
        <v>12</v>
      </c>
      <c r="H73" s="16">
        <v>0</v>
      </c>
      <c r="I73" s="21">
        <f t="shared" si="7"/>
        <v>0</v>
      </c>
    </row>
    <row r="74" spans="1:9" ht="13.5">
      <c r="A74" s="1">
        <v>9</v>
      </c>
      <c r="B74" s="2" t="s">
        <v>71</v>
      </c>
      <c r="C74" s="3">
        <v>15</v>
      </c>
      <c r="D74" s="3"/>
      <c r="E74" s="3"/>
      <c r="F74" s="3">
        <f t="shared" si="8"/>
        <v>15</v>
      </c>
      <c r="G74" s="3">
        <v>21</v>
      </c>
      <c r="H74" s="16">
        <f t="shared" si="9"/>
        <v>-6</v>
      </c>
      <c r="I74" s="21">
        <f t="shared" si="7"/>
        <v>0.6</v>
      </c>
    </row>
    <row r="75" spans="1:9" ht="13.5">
      <c r="A75" s="1">
        <v>10</v>
      </c>
      <c r="B75" s="2" t="s">
        <v>72</v>
      </c>
      <c r="C75" s="3">
        <v>176</v>
      </c>
      <c r="D75" s="3">
        <v>1</v>
      </c>
      <c r="E75" s="3">
        <v>1</v>
      </c>
      <c r="F75" s="3">
        <f t="shared" si="8"/>
        <v>174</v>
      </c>
      <c r="G75" s="3">
        <v>174</v>
      </c>
      <c r="H75" s="16">
        <v>0</v>
      </c>
      <c r="I75" s="21">
        <f t="shared" si="7"/>
        <v>0</v>
      </c>
    </row>
    <row r="76" spans="1:9" ht="13.5">
      <c r="A76" s="1">
        <v>11</v>
      </c>
      <c r="B76" s="2" t="s">
        <v>73</v>
      </c>
      <c r="C76" s="3">
        <v>30</v>
      </c>
      <c r="D76" s="3"/>
      <c r="E76" s="3">
        <v>1</v>
      </c>
      <c r="F76" s="3">
        <f t="shared" si="8"/>
        <v>29</v>
      </c>
      <c r="G76" s="3">
        <v>29</v>
      </c>
      <c r="H76" s="16">
        <f t="shared" si="9"/>
        <v>0</v>
      </c>
      <c r="I76" s="21">
        <f t="shared" si="7"/>
        <v>0</v>
      </c>
    </row>
    <row r="77" spans="1:9" ht="13.5">
      <c r="A77" s="14" t="s">
        <v>452</v>
      </c>
      <c r="B77" s="15" t="s">
        <v>74</v>
      </c>
      <c r="C77" s="16">
        <f>SUM(C78:C87)</f>
        <v>304</v>
      </c>
      <c r="D77" s="16">
        <f>SUM(D78:D87)</f>
        <v>0</v>
      </c>
      <c r="E77" s="16">
        <f>SUM(E78:E87)</f>
        <v>0</v>
      </c>
      <c r="F77" s="16">
        <f t="shared" si="8"/>
        <v>304</v>
      </c>
      <c r="G77" s="16">
        <f>SUM(G78:G87)</f>
        <v>335</v>
      </c>
      <c r="H77" s="16">
        <f>SUM(H78:H87)</f>
        <v>-31</v>
      </c>
      <c r="I77" s="23">
        <f>H77/1484*-141</f>
        <v>2.9454177897574123</v>
      </c>
    </row>
    <row r="78" spans="1:9" ht="13.5">
      <c r="A78" s="1">
        <v>1</v>
      </c>
      <c r="B78" s="2" t="s">
        <v>75</v>
      </c>
      <c r="C78" s="3">
        <v>75</v>
      </c>
      <c r="D78" s="3"/>
      <c r="E78" s="3"/>
      <c r="F78" s="3">
        <f t="shared" si="8"/>
        <v>75</v>
      </c>
      <c r="G78" s="3">
        <v>102</v>
      </c>
      <c r="H78" s="16">
        <f t="shared" si="9"/>
        <v>-27</v>
      </c>
      <c r="I78" s="21">
        <f>H78/31*-3</f>
        <v>2.6129032258064515</v>
      </c>
    </row>
    <row r="79" spans="1:9" ht="13.5">
      <c r="A79" s="1">
        <v>2</v>
      </c>
      <c r="B79" s="2" t="s">
        <v>76</v>
      </c>
      <c r="C79" s="3">
        <v>26</v>
      </c>
      <c r="D79" s="3"/>
      <c r="E79" s="3"/>
      <c r="F79" s="3">
        <f t="shared" si="8"/>
        <v>26</v>
      </c>
      <c r="G79" s="3">
        <v>26</v>
      </c>
      <c r="H79" s="16">
        <v>0</v>
      </c>
      <c r="I79" s="21">
        <f>H79/31*-3</f>
        <v>0</v>
      </c>
    </row>
    <row r="80" spans="1:9" ht="13.5">
      <c r="A80" s="1">
        <v>3</v>
      </c>
      <c r="B80" s="2" t="s">
        <v>77</v>
      </c>
      <c r="C80" s="3">
        <v>25</v>
      </c>
      <c r="D80" s="3"/>
      <c r="E80" s="3"/>
      <c r="F80" s="3">
        <f t="shared" si="8"/>
        <v>25</v>
      </c>
      <c r="G80" s="3">
        <v>25</v>
      </c>
      <c r="H80" s="16">
        <v>0</v>
      </c>
      <c r="I80" s="21">
        <f aca="true" t="shared" si="10" ref="I80:I86">H80/31*-3</f>
        <v>0</v>
      </c>
    </row>
    <row r="81" spans="1:9" ht="13.5">
      <c r="A81" s="1">
        <v>4</v>
      </c>
      <c r="B81" s="2" t="s">
        <v>78</v>
      </c>
      <c r="C81" s="3">
        <v>12</v>
      </c>
      <c r="D81" s="3"/>
      <c r="E81" s="3"/>
      <c r="F81" s="3">
        <f t="shared" si="8"/>
        <v>12</v>
      </c>
      <c r="G81" s="3">
        <v>12</v>
      </c>
      <c r="H81" s="16">
        <v>0</v>
      </c>
      <c r="I81" s="21">
        <f t="shared" si="10"/>
        <v>0</v>
      </c>
    </row>
    <row r="82" spans="1:9" ht="13.5">
      <c r="A82" s="1">
        <v>5</v>
      </c>
      <c r="B82" s="2" t="s">
        <v>79</v>
      </c>
      <c r="C82" s="3">
        <v>15</v>
      </c>
      <c r="D82" s="3"/>
      <c r="E82" s="3"/>
      <c r="F82" s="3">
        <f t="shared" si="8"/>
        <v>15</v>
      </c>
      <c r="G82" s="3">
        <v>15</v>
      </c>
      <c r="H82" s="16">
        <v>0</v>
      </c>
      <c r="I82" s="21">
        <f t="shared" si="10"/>
        <v>0</v>
      </c>
    </row>
    <row r="83" spans="1:9" ht="13.5">
      <c r="A83" s="1">
        <v>6</v>
      </c>
      <c r="B83" s="2" t="s">
        <v>80</v>
      </c>
      <c r="C83" s="3">
        <v>26</v>
      </c>
      <c r="D83" s="3"/>
      <c r="E83" s="3"/>
      <c r="F83" s="3">
        <f t="shared" si="8"/>
        <v>26</v>
      </c>
      <c r="G83" s="3">
        <v>26</v>
      </c>
      <c r="H83" s="16">
        <v>0</v>
      </c>
      <c r="I83" s="21">
        <f t="shared" si="10"/>
        <v>0</v>
      </c>
    </row>
    <row r="84" spans="1:9" ht="13.5">
      <c r="A84" s="1">
        <v>7</v>
      </c>
      <c r="B84" s="2" t="s">
        <v>81</v>
      </c>
      <c r="C84" s="3">
        <v>6</v>
      </c>
      <c r="D84" s="3"/>
      <c r="E84" s="3"/>
      <c r="F84" s="3">
        <f t="shared" si="8"/>
        <v>6</v>
      </c>
      <c r="G84" s="3">
        <v>8</v>
      </c>
      <c r="H84" s="16">
        <f t="shared" si="9"/>
        <v>-2</v>
      </c>
      <c r="I84" s="21">
        <f t="shared" si="10"/>
        <v>0.1935483870967742</v>
      </c>
    </row>
    <row r="85" spans="1:9" ht="13.5">
      <c r="A85" s="1">
        <v>8</v>
      </c>
      <c r="B85" s="2" t="s">
        <v>82</v>
      </c>
      <c r="C85" s="3">
        <v>1</v>
      </c>
      <c r="D85" s="3"/>
      <c r="E85" s="3"/>
      <c r="F85" s="3">
        <f t="shared" si="8"/>
        <v>1</v>
      </c>
      <c r="G85" s="3">
        <v>1</v>
      </c>
      <c r="H85" s="16">
        <f t="shared" si="9"/>
        <v>0</v>
      </c>
      <c r="I85" s="21">
        <f t="shared" si="10"/>
        <v>0</v>
      </c>
    </row>
    <row r="86" spans="1:9" ht="13.5">
      <c r="A86" s="1">
        <v>9</v>
      </c>
      <c r="B86" s="2" t="s">
        <v>83</v>
      </c>
      <c r="C86" s="3">
        <v>9</v>
      </c>
      <c r="D86" s="3"/>
      <c r="E86" s="3"/>
      <c r="F86" s="3">
        <f t="shared" si="8"/>
        <v>9</v>
      </c>
      <c r="G86" s="3">
        <v>11</v>
      </c>
      <c r="H86" s="16">
        <f t="shared" si="9"/>
        <v>-2</v>
      </c>
      <c r="I86" s="21">
        <f t="shared" si="10"/>
        <v>0.1935483870967742</v>
      </c>
    </row>
    <row r="87" spans="1:9" ht="13.5">
      <c r="A87" s="1">
        <v>10</v>
      </c>
      <c r="B87" s="2" t="s">
        <v>84</v>
      </c>
      <c r="C87" s="3">
        <v>109</v>
      </c>
      <c r="D87" s="3"/>
      <c r="E87" s="3"/>
      <c r="F87" s="3">
        <f t="shared" si="8"/>
        <v>109</v>
      </c>
      <c r="G87" s="3">
        <v>109</v>
      </c>
      <c r="H87" s="16">
        <v>0</v>
      </c>
      <c r="I87" s="21">
        <f>H87/31*-11</f>
        <v>0</v>
      </c>
    </row>
    <row r="88" spans="1:9" ht="13.5">
      <c r="A88" s="14" t="s">
        <v>453</v>
      </c>
      <c r="B88" s="15" t="s">
        <v>85</v>
      </c>
      <c r="C88" s="16">
        <f>SUM(C89:C99)</f>
        <v>430</v>
      </c>
      <c r="D88" s="16">
        <f>SUM(D89:D99)</f>
        <v>0</v>
      </c>
      <c r="E88" s="16">
        <f>SUM(E89:E99)</f>
        <v>3</v>
      </c>
      <c r="F88" s="16">
        <f t="shared" si="8"/>
        <v>427</v>
      </c>
      <c r="G88" s="16">
        <f>SUM(G89:G99)</f>
        <v>580</v>
      </c>
      <c r="H88" s="16">
        <f>SUM(H89:H99)</f>
        <v>-153</v>
      </c>
      <c r="I88" s="23">
        <f>H88/1484*-141</f>
        <v>14.537061994609166</v>
      </c>
    </row>
    <row r="89" spans="1:9" ht="13.5">
      <c r="A89" s="1">
        <v>1</v>
      </c>
      <c r="B89" s="2" t="s">
        <v>86</v>
      </c>
      <c r="C89" s="3">
        <v>28</v>
      </c>
      <c r="D89" s="3"/>
      <c r="E89" s="3"/>
      <c r="F89" s="3">
        <f t="shared" si="8"/>
        <v>28</v>
      </c>
      <c r="G89" s="3">
        <v>28</v>
      </c>
      <c r="H89" s="16">
        <v>0</v>
      </c>
      <c r="I89" s="21">
        <f>H89/-153*15</f>
        <v>0</v>
      </c>
    </row>
    <row r="90" spans="1:9" ht="13.5">
      <c r="A90" s="1">
        <v>2</v>
      </c>
      <c r="B90" s="2" t="s">
        <v>87</v>
      </c>
      <c r="C90" s="3">
        <v>65</v>
      </c>
      <c r="D90" s="3"/>
      <c r="E90" s="3"/>
      <c r="F90" s="3">
        <f t="shared" si="8"/>
        <v>65</v>
      </c>
      <c r="G90" s="3">
        <v>65</v>
      </c>
      <c r="H90" s="16">
        <f t="shared" si="9"/>
        <v>0</v>
      </c>
      <c r="I90" s="21">
        <f>H90/-153*15</f>
        <v>0</v>
      </c>
    </row>
    <row r="91" spans="1:9" ht="13.5">
      <c r="A91" s="1">
        <v>3</v>
      </c>
      <c r="B91" s="2" t="s">
        <v>88</v>
      </c>
      <c r="C91" s="3">
        <v>9</v>
      </c>
      <c r="D91" s="3"/>
      <c r="E91" s="3"/>
      <c r="F91" s="3">
        <f t="shared" si="8"/>
        <v>9</v>
      </c>
      <c r="G91" s="3">
        <v>43</v>
      </c>
      <c r="H91" s="16">
        <f t="shared" si="9"/>
        <v>-34</v>
      </c>
      <c r="I91" s="21">
        <f>H91/-153*15</f>
        <v>3.333333333333333</v>
      </c>
    </row>
    <row r="92" spans="1:9" ht="13.5">
      <c r="A92" s="1">
        <v>4</v>
      </c>
      <c r="B92" s="2" t="s">
        <v>89</v>
      </c>
      <c r="C92" s="3">
        <v>40</v>
      </c>
      <c r="D92" s="3"/>
      <c r="E92" s="3">
        <v>2</v>
      </c>
      <c r="F92" s="3">
        <f t="shared" si="8"/>
        <v>38</v>
      </c>
      <c r="G92" s="3">
        <v>38</v>
      </c>
      <c r="H92" s="16">
        <v>0</v>
      </c>
      <c r="I92" s="21">
        <f>H92/-153*15</f>
        <v>0</v>
      </c>
    </row>
    <row r="93" spans="1:9" ht="13.5">
      <c r="A93" s="1">
        <v>5</v>
      </c>
      <c r="B93" s="2" t="s">
        <v>90</v>
      </c>
      <c r="C93" s="3">
        <v>5</v>
      </c>
      <c r="D93" s="3"/>
      <c r="E93" s="3"/>
      <c r="F93" s="3">
        <f t="shared" si="8"/>
        <v>5</v>
      </c>
      <c r="G93" s="3">
        <v>121</v>
      </c>
      <c r="H93" s="16">
        <f t="shared" si="9"/>
        <v>-116</v>
      </c>
      <c r="I93" s="21">
        <f>H93/-153*15</f>
        <v>11.372549019607842</v>
      </c>
    </row>
    <row r="94" spans="1:9" ht="13.5">
      <c r="A94" s="1">
        <v>6</v>
      </c>
      <c r="B94" s="2" t="s">
        <v>91</v>
      </c>
      <c r="C94" s="3">
        <v>6</v>
      </c>
      <c r="D94" s="3"/>
      <c r="E94" s="3"/>
      <c r="F94" s="3">
        <f t="shared" si="8"/>
        <v>6</v>
      </c>
      <c r="G94" s="3">
        <v>9</v>
      </c>
      <c r="H94" s="16">
        <f t="shared" si="9"/>
        <v>-3</v>
      </c>
      <c r="I94" s="21">
        <v>1</v>
      </c>
    </row>
    <row r="95" spans="1:9" ht="13.5">
      <c r="A95" s="1">
        <v>7</v>
      </c>
      <c r="B95" s="2" t="s">
        <v>92</v>
      </c>
      <c r="C95" s="3">
        <v>7</v>
      </c>
      <c r="D95" s="3"/>
      <c r="E95" s="3"/>
      <c r="F95" s="3">
        <f t="shared" si="8"/>
        <v>7</v>
      </c>
      <c r="G95" s="3">
        <v>7</v>
      </c>
      <c r="H95" s="16">
        <f t="shared" si="9"/>
        <v>0</v>
      </c>
      <c r="I95" s="21">
        <f>H95/-153*56</f>
        <v>0</v>
      </c>
    </row>
    <row r="96" spans="1:9" ht="13.5">
      <c r="A96" s="1">
        <v>8</v>
      </c>
      <c r="B96" s="2" t="s">
        <v>93</v>
      </c>
      <c r="C96" s="3">
        <v>248</v>
      </c>
      <c r="D96" s="3"/>
      <c r="E96" s="3">
        <v>1</v>
      </c>
      <c r="F96" s="3">
        <f t="shared" si="8"/>
        <v>247</v>
      </c>
      <c r="G96" s="3">
        <v>247</v>
      </c>
      <c r="H96" s="16">
        <v>0</v>
      </c>
      <c r="I96" s="21">
        <f>H96/-153*56</f>
        <v>0</v>
      </c>
    </row>
    <row r="97" spans="1:9" ht="13.5">
      <c r="A97" s="1">
        <v>9</v>
      </c>
      <c r="B97" s="2" t="s">
        <v>94</v>
      </c>
      <c r="C97" s="3">
        <v>6</v>
      </c>
      <c r="D97" s="3"/>
      <c r="E97" s="3"/>
      <c r="F97" s="3">
        <f t="shared" si="8"/>
        <v>6</v>
      </c>
      <c r="G97" s="3">
        <v>6</v>
      </c>
      <c r="H97" s="16">
        <f t="shared" si="9"/>
        <v>0</v>
      </c>
      <c r="I97" s="21">
        <f>H97/-153*56</f>
        <v>0</v>
      </c>
    </row>
    <row r="98" spans="1:9" ht="13.5">
      <c r="A98" s="1">
        <v>10</v>
      </c>
      <c r="B98" s="2" t="s">
        <v>95</v>
      </c>
      <c r="C98" s="3">
        <v>8</v>
      </c>
      <c r="D98" s="3"/>
      <c r="E98" s="3"/>
      <c r="F98" s="3">
        <f t="shared" si="8"/>
        <v>8</v>
      </c>
      <c r="G98" s="3">
        <v>8</v>
      </c>
      <c r="H98" s="16">
        <f t="shared" si="9"/>
        <v>0</v>
      </c>
      <c r="I98" s="21">
        <f>H98/-153*56</f>
        <v>0</v>
      </c>
    </row>
    <row r="99" spans="1:9" ht="13.5">
      <c r="A99" s="1">
        <v>11</v>
      </c>
      <c r="B99" s="2" t="s">
        <v>96</v>
      </c>
      <c r="C99" s="3">
        <v>8</v>
      </c>
      <c r="D99" s="3"/>
      <c r="E99" s="3"/>
      <c r="F99" s="3">
        <f t="shared" si="8"/>
        <v>8</v>
      </c>
      <c r="G99" s="3">
        <v>8</v>
      </c>
      <c r="H99" s="16">
        <f t="shared" si="9"/>
        <v>0</v>
      </c>
      <c r="I99" s="21">
        <f>H99/-153*56</f>
        <v>0</v>
      </c>
    </row>
    <row r="100" spans="1:9" ht="13.5">
      <c r="A100" s="14" t="s">
        <v>454</v>
      </c>
      <c r="B100" s="15" t="s">
        <v>97</v>
      </c>
      <c r="C100" s="16">
        <f>SUM(C101:C107)</f>
        <v>138</v>
      </c>
      <c r="D100" s="16">
        <f>SUM(D101:D107)</f>
        <v>0</v>
      </c>
      <c r="E100" s="16">
        <f>SUM(E101:E107)</f>
        <v>0</v>
      </c>
      <c r="F100" s="16">
        <f t="shared" si="8"/>
        <v>138</v>
      </c>
      <c r="G100" s="16">
        <f>SUM(G101:G107)</f>
        <v>138</v>
      </c>
      <c r="H100" s="16">
        <f>SUM(H101:H107)</f>
        <v>0</v>
      </c>
      <c r="I100" s="21">
        <f>H100/1484*-578</f>
        <v>0</v>
      </c>
    </row>
    <row r="101" spans="1:9" ht="13.5">
      <c r="A101" s="1">
        <v>1</v>
      </c>
      <c r="B101" s="2" t="s">
        <v>98</v>
      </c>
      <c r="C101" s="3">
        <v>39</v>
      </c>
      <c r="D101" s="3"/>
      <c r="E101" s="3"/>
      <c r="F101" s="3">
        <f t="shared" si="8"/>
        <v>39</v>
      </c>
      <c r="G101" s="3">
        <v>39</v>
      </c>
      <c r="H101" s="16">
        <f t="shared" si="9"/>
        <v>0</v>
      </c>
      <c r="I101" s="21">
        <v>0</v>
      </c>
    </row>
    <row r="102" spans="1:9" ht="13.5">
      <c r="A102" s="1">
        <v>2</v>
      </c>
      <c r="B102" s="2" t="s">
        <v>99</v>
      </c>
      <c r="C102" s="3">
        <v>33</v>
      </c>
      <c r="D102" s="3"/>
      <c r="E102" s="3"/>
      <c r="F102" s="3">
        <f t="shared" si="8"/>
        <v>33</v>
      </c>
      <c r="G102" s="3">
        <v>33</v>
      </c>
      <c r="H102" s="16">
        <v>0</v>
      </c>
      <c r="I102" s="21">
        <v>0</v>
      </c>
    </row>
    <row r="103" spans="1:9" ht="13.5">
      <c r="A103" s="1">
        <v>3</v>
      </c>
      <c r="B103" s="2" t="s">
        <v>100</v>
      </c>
      <c r="C103" s="3">
        <v>38</v>
      </c>
      <c r="D103" s="3"/>
      <c r="E103" s="3"/>
      <c r="F103" s="3">
        <f t="shared" si="8"/>
        <v>38</v>
      </c>
      <c r="G103" s="3">
        <v>38</v>
      </c>
      <c r="H103" s="16">
        <v>0</v>
      </c>
      <c r="I103" s="21">
        <v>0</v>
      </c>
    </row>
    <row r="104" spans="1:9" ht="13.5">
      <c r="A104" s="1">
        <v>4</v>
      </c>
      <c r="B104" s="2" t="s">
        <v>101</v>
      </c>
      <c r="C104" s="3">
        <v>1</v>
      </c>
      <c r="D104" s="3"/>
      <c r="E104" s="3"/>
      <c r="F104" s="3">
        <v>1</v>
      </c>
      <c r="G104" s="3">
        <v>1</v>
      </c>
      <c r="H104" s="16">
        <f t="shared" si="9"/>
        <v>0</v>
      </c>
      <c r="I104" s="21">
        <v>0</v>
      </c>
    </row>
    <row r="105" spans="1:9" ht="13.5">
      <c r="A105" s="1">
        <v>5</v>
      </c>
      <c r="B105" s="2" t="s">
        <v>102</v>
      </c>
      <c r="C105" s="3"/>
      <c r="D105" s="3"/>
      <c r="E105" s="3"/>
      <c r="F105" s="3">
        <f t="shared" si="8"/>
        <v>0</v>
      </c>
      <c r="G105" s="3"/>
      <c r="H105" s="16">
        <f t="shared" si="9"/>
        <v>0</v>
      </c>
      <c r="I105" s="21">
        <v>0</v>
      </c>
    </row>
    <row r="106" spans="1:9" ht="13.5">
      <c r="A106" s="1">
        <v>6</v>
      </c>
      <c r="B106" s="2" t="s">
        <v>103</v>
      </c>
      <c r="C106" s="3"/>
      <c r="D106" s="3"/>
      <c r="E106" s="3"/>
      <c r="F106" s="3"/>
      <c r="G106" s="3"/>
      <c r="H106" s="16">
        <f t="shared" si="9"/>
        <v>0</v>
      </c>
      <c r="I106" s="21">
        <v>0</v>
      </c>
    </row>
    <row r="107" spans="1:9" ht="13.5">
      <c r="A107" s="1">
        <v>7</v>
      </c>
      <c r="B107" s="2" t="s">
        <v>104</v>
      </c>
      <c r="C107" s="3">
        <v>27</v>
      </c>
      <c r="D107" s="3"/>
      <c r="E107" s="3"/>
      <c r="F107" s="3">
        <f t="shared" si="8"/>
        <v>27</v>
      </c>
      <c r="G107" s="3">
        <v>27</v>
      </c>
      <c r="H107" s="16">
        <v>0</v>
      </c>
      <c r="I107" s="21">
        <v>0</v>
      </c>
    </row>
    <row r="108" spans="1:9" ht="13.5">
      <c r="A108" s="14" t="s">
        <v>455</v>
      </c>
      <c r="B108" s="15" t="s">
        <v>105</v>
      </c>
      <c r="C108" s="16">
        <f>SUM(C109:C118)</f>
        <v>790</v>
      </c>
      <c r="D108" s="16">
        <f>SUM(D109:D118)</f>
        <v>0</v>
      </c>
      <c r="E108" s="16">
        <f>SUM(E109:E118)</f>
        <v>4</v>
      </c>
      <c r="F108" s="16">
        <f t="shared" si="8"/>
        <v>786</v>
      </c>
      <c r="G108" s="16">
        <f>SUM(G109:G118)</f>
        <v>806</v>
      </c>
      <c r="H108" s="16">
        <f>SUM(H109:H118)</f>
        <v>-20</v>
      </c>
      <c r="I108" s="23">
        <f>H108/1484*-141</f>
        <v>1.900269541778976</v>
      </c>
    </row>
    <row r="109" spans="1:9" ht="13.5">
      <c r="A109" s="1">
        <v>1</v>
      </c>
      <c r="B109" s="2" t="s">
        <v>106</v>
      </c>
      <c r="C109" s="3">
        <v>87</v>
      </c>
      <c r="D109" s="3"/>
      <c r="E109" s="3"/>
      <c r="F109" s="3">
        <f t="shared" si="8"/>
        <v>87</v>
      </c>
      <c r="G109" s="3">
        <v>87</v>
      </c>
      <c r="H109" s="16">
        <v>0</v>
      </c>
      <c r="I109" s="21">
        <f>H109/-20*8</f>
        <v>0</v>
      </c>
    </row>
    <row r="110" spans="1:9" ht="13.5">
      <c r="A110" s="1">
        <v>2</v>
      </c>
      <c r="B110" s="2" t="s">
        <v>107</v>
      </c>
      <c r="C110" s="3">
        <v>64</v>
      </c>
      <c r="D110" s="3"/>
      <c r="E110" s="3"/>
      <c r="F110" s="3">
        <f t="shared" si="8"/>
        <v>64</v>
      </c>
      <c r="G110" s="3">
        <v>64</v>
      </c>
      <c r="H110" s="16">
        <f t="shared" si="9"/>
        <v>0</v>
      </c>
      <c r="I110" s="21">
        <f aca="true" t="shared" si="11" ref="I110:I116">H110/-20*8</f>
        <v>0</v>
      </c>
    </row>
    <row r="111" spans="1:9" ht="13.5">
      <c r="A111" s="1">
        <v>3</v>
      </c>
      <c r="B111" s="2" t="s">
        <v>108</v>
      </c>
      <c r="C111" s="3">
        <v>33</v>
      </c>
      <c r="D111" s="3"/>
      <c r="E111" s="3"/>
      <c r="F111" s="3">
        <f t="shared" si="8"/>
        <v>33</v>
      </c>
      <c r="G111" s="3">
        <v>33</v>
      </c>
      <c r="H111" s="16">
        <v>0</v>
      </c>
      <c r="I111" s="21">
        <f t="shared" si="11"/>
        <v>0</v>
      </c>
    </row>
    <row r="112" spans="1:9" ht="13.5">
      <c r="A112" s="1">
        <v>4</v>
      </c>
      <c r="B112" s="2" t="s">
        <v>109</v>
      </c>
      <c r="C112" s="3">
        <v>20</v>
      </c>
      <c r="D112" s="3"/>
      <c r="E112" s="3"/>
      <c r="F112" s="3">
        <f t="shared" si="8"/>
        <v>20</v>
      </c>
      <c r="G112" s="3">
        <v>20</v>
      </c>
      <c r="H112" s="16">
        <v>0</v>
      </c>
      <c r="I112" s="21">
        <f t="shared" si="11"/>
        <v>0</v>
      </c>
    </row>
    <row r="113" spans="1:9" ht="13.5">
      <c r="A113" s="1">
        <v>5</v>
      </c>
      <c r="B113" s="2" t="s">
        <v>110</v>
      </c>
      <c r="C113" s="3">
        <v>74</v>
      </c>
      <c r="D113" s="3"/>
      <c r="E113" s="3"/>
      <c r="F113" s="3">
        <f t="shared" si="8"/>
        <v>74</v>
      </c>
      <c r="G113" s="3">
        <v>74</v>
      </c>
      <c r="H113" s="16">
        <v>0</v>
      </c>
      <c r="I113" s="21">
        <f t="shared" si="11"/>
        <v>0</v>
      </c>
    </row>
    <row r="114" spans="1:9" ht="13.5">
      <c r="A114" s="1">
        <v>6</v>
      </c>
      <c r="B114" s="2" t="s">
        <v>111</v>
      </c>
      <c r="C114" s="3">
        <v>12</v>
      </c>
      <c r="D114" s="3"/>
      <c r="E114" s="3"/>
      <c r="F114" s="3">
        <f t="shared" si="8"/>
        <v>12</v>
      </c>
      <c r="G114" s="3">
        <v>12</v>
      </c>
      <c r="H114" s="16">
        <f t="shared" si="9"/>
        <v>0</v>
      </c>
      <c r="I114" s="21">
        <f t="shared" si="11"/>
        <v>0</v>
      </c>
    </row>
    <row r="115" spans="1:9" ht="13.5">
      <c r="A115" s="1">
        <v>7</v>
      </c>
      <c r="B115" s="2" t="s">
        <v>112</v>
      </c>
      <c r="C115" s="3">
        <v>4</v>
      </c>
      <c r="D115" s="3"/>
      <c r="E115" s="3"/>
      <c r="F115" s="3">
        <f t="shared" si="8"/>
        <v>4</v>
      </c>
      <c r="G115" s="3">
        <v>4</v>
      </c>
      <c r="H115" s="16">
        <v>0</v>
      </c>
      <c r="I115" s="21">
        <f t="shared" si="11"/>
        <v>0</v>
      </c>
    </row>
    <row r="116" spans="1:9" ht="13.5">
      <c r="A116" s="1">
        <v>8</v>
      </c>
      <c r="B116" s="2" t="s">
        <v>113</v>
      </c>
      <c r="C116" s="3">
        <v>80</v>
      </c>
      <c r="D116" s="3"/>
      <c r="E116" s="3"/>
      <c r="F116" s="3">
        <f t="shared" si="8"/>
        <v>80</v>
      </c>
      <c r="G116" s="3">
        <v>80</v>
      </c>
      <c r="H116" s="16">
        <f t="shared" si="9"/>
        <v>0</v>
      </c>
      <c r="I116" s="21">
        <f t="shared" si="11"/>
        <v>0</v>
      </c>
    </row>
    <row r="117" spans="1:9" ht="13.5">
      <c r="A117" s="1">
        <v>9</v>
      </c>
      <c r="B117" s="2" t="s">
        <v>114</v>
      </c>
      <c r="C117" s="3">
        <v>330</v>
      </c>
      <c r="D117" s="3"/>
      <c r="E117" s="3">
        <v>4</v>
      </c>
      <c r="F117" s="3">
        <f t="shared" si="8"/>
        <v>326</v>
      </c>
      <c r="G117" s="3">
        <v>342</v>
      </c>
      <c r="H117" s="16">
        <f t="shared" si="9"/>
        <v>-16</v>
      </c>
      <c r="I117" s="21">
        <f>H117/-20*2</f>
        <v>1.6</v>
      </c>
    </row>
    <row r="118" spans="1:9" ht="13.5">
      <c r="A118" s="1">
        <v>10</v>
      </c>
      <c r="B118" s="2" t="s">
        <v>115</v>
      </c>
      <c r="C118" s="3">
        <v>86</v>
      </c>
      <c r="D118" s="3"/>
      <c r="E118" s="3"/>
      <c r="F118" s="3">
        <f t="shared" si="8"/>
        <v>86</v>
      </c>
      <c r="G118" s="3">
        <v>90</v>
      </c>
      <c r="H118" s="16">
        <f t="shared" si="9"/>
        <v>-4</v>
      </c>
      <c r="I118" s="21">
        <f>H118/-20*2</f>
        <v>0.4</v>
      </c>
    </row>
    <row r="119" spans="1:9" ht="13.5">
      <c r="A119" s="14" t="s">
        <v>456</v>
      </c>
      <c r="B119" s="15" t="s">
        <v>116</v>
      </c>
      <c r="C119" s="16">
        <f>SUM(C120:C126)</f>
        <v>39</v>
      </c>
      <c r="D119" s="16">
        <f>SUM(D120:D126)</f>
        <v>0</v>
      </c>
      <c r="E119" s="16">
        <f>SUM(E120:E126)</f>
        <v>0</v>
      </c>
      <c r="F119" s="16">
        <f t="shared" si="8"/>
        <v>39</v>
      </c>
      <c r="G119" s="16">
        <f>SUM(G120:G126)</f>
        <v>54</v>
      </c>
      <c r="H119" s="16">
        <f>SUM(H120:H126)</f>
        <v>-15</v>
      </c>
      <c r="I119" s="23">
        <f>H119/1484*-141</f>
        <v>1.4252021563342316</v>
      </c>
    </row>
    <row r="120" spans="1:9" ht="13.5">
      <c r="A120" s="1">
        <v>1</v>
      </c>
      <c r="B120" s="2" t="s">
        <v>117</v>
      </c>
      <c r="C120" s="3">
        <v>14</v>
      </c>
      <c r="D120" s="3"/>
      <c r="E120" s="3"/>
      <c r="F120" s="3">
        <f t="shared" si="8"/>
        <v>14</v>
      </c>
      <c r="G120" s="3">
        <v>29</v>
      </c>
      <c r="H120" s="16">
        <f t="shared" si="9"/>
        <v>-15</v>
      </c>
      <c r="I120" s="21">
        <v>1</v>
      </c>
    </row>
    <row r="121" spans="1:9" ht="13.5">
      <c r="A121" s="1">
        <v>2</v>
      </c>
      <c r="B121" s="2" t="s">
        <v>118</v>
      </c>
      <c r="C121" s="3">
        <v>3</v>
      </c>
      <c r="D121" s="3"/>
      <c r="E121" s="3"/>
      <c r="F121" s="3">
        <f t="shared" si="8"/>
        <v>3</v>
      </c>
      <c r="G121" s="3">
        <v>3</v>
      </c>
      <c r="H121" s="16">
        <f t="shared" si="9"/>
        <v>0</v>
      </c>
      <c r="I121" s="21">
        <v>0</v>
      </c>
    </row>
    <row r="122" spans="1:9" ht="13.5">
      <c r="A122" s="1">
        <v>3</v>
      </c>
      <c r="B122" s="2" t="s">
        <v>119</v>
      </c>
      <c r="C122" s="3">
        <v>1</v>
      </c>
      <c r="D122" s="3"/>
      <c r="E122" s="3"/>
      <c r="F122" s="3">
        <f t="shared" si="8"/>
        <v>1</v>
      </c>
      <c r="G122" s="3">
        <v>1</v>
      </c>
      <c r="H122" s="16">
        <f t="shared" si="9"/>
        <v>0</v>
      </c>
      <c r="I122" s="21">
        <v>0</v>
      </c>
    </row>
    <row r="123" spans="1:9" ht="13.5">
      <c r="A123" s="1">
        <v>4</v>
      </c>
      <c r="B123" s="2" t="s">
        <v>120</v>
      </c>
      <c r="C123" s="3"/>
      <c r="D123" s="3"/>
      <c r="E123" s="3"/>
      <c r="F123" s="3">
        <f t="shared" si="8"/>
        <v>0</v>
      </c>
      <c r="G123" s="3"/>
      <c r="H123" s="16">
        <f t="shared" si="9"/>
        <v>0</v>
      </c>
      <c r="I123" s="21">
        <v>0</v>
      </c>
    </row>
    <row r="124" spans="1:9" ht="13.5">
      <c r="A124" s="1">
        <v>5</v>
      </c>
      <c r="B124" s="2" t="s">
        <v>121</v>
      </c>
      <c r="C124" s="3">
        <v>12</v>
      </c>
      <c r="D124" s="3"/>
      <c r="E124" s="3"/>
      <c r="F124" s="3">
        <f t="shared" si="8"/>
        <v>12</v>
      </c>
      <c r="G124" s="3">
        <v>12</v>
      </c>
      <c r="H124" s="16">
        <v>0</v>
      </c>
      <c r="I124" s="21">
        <v>0</v>
      </c>
    </row>
    <row r="125" spans="1:9" ht="13.5">
      <c r="A125" s="1">
        <v>6</v>
      </c>
      <c r="B125" s="2" t="s">
        <v>122</v>
      </c>
      <c r="C125" s="3"/>
      <c r="D125" s="3"/>
      <c r="E125" s="3"/>
      <c r="F125" s="3"/>
      <c r="G125" s="3"/>
      <c r="H125" s="16">
        <f t="shared" si="9"/>
        <v>0</v>
      </c>
      <c r="I125" s="21">
        <v>0</v>
      </c>
    </row>
    <row r="126" spans="1:9" ht="13.5">
      <c r="A126" s="1">
        <v>7</v>
      </c>
      <c r="B126" s="2" t="s">
        <v>123</v>
      </c>
      <c r="C126" s="3">
        <v>9</v>
      </c>
      <c r="D126" s="3"/>
      <c r="E126" s="3"/>
      <c r="F126" s="3">
        <f t="shared" si="8"/>
        <v>9</v>
      </c>
      <c r="G126" s="3">
        <v>9</v>
      </c>
      <c r="H126" s="16">
        <v>0</v>
      </c>
      <c r="I126" s="21">
        <v>0</v>
      </c>
    </row>
    <row r="127" spans="1:9" ht="13.5">
      <c r="A127" s="14" t="s">
        <v>457</v>
      </c>
      <c r="B127" s="15" t="s">
        <v>124</v>
      </c>
      <c r="C127" s="16">
        <f>SUM(C128:C132)</f>
        <v>76</v>
      </c>
      <c r="D127" s="16">
        <f>SUM(D128:D132)</f>
        <v>1</v>
      </c>
      <c r="E127" s="16">
        <f>SUM(E128:E132)</f>
        <v>0</v>
      </c>
      <c r="F127" s="16">
        <f t="shared" si="8"/>
        <v>75</v>
      </c>
      <c r="G127" s="16">
        <f>SUM(G128:G132)</f>
        <v>103</v>
      </c>
      <c r="H127" s="16">
        <f>SUM(H128:H132)</f>
        <v>-28</v>
      </c>
      <c r="I127" s="23">
        <f>H127/1484*-141</f>
        <v>2.660377358490566</v>
      </c>
    </row>
    <row r="128" spans="1:9" ht="13.5">
      <c r="A128" s="1">
        <v>1</v>
      </c>
      <c r="B128" s="2" t="s">
        <v>125</v>
      </c>
      <c r="C128" s="3">
        <v>15</v>
      </c>
      <c r="D128" s="3">
        <v>1</v>
      </c>
      <c r="E128" s="3"/>
      <c r="F128" s="3">
        <f t="shared" si="8"/>
        <v>14</v>
      </c>
      <c r="G128" s="3">
        <v>42</v>
      </c>
      <c r="H128" s="16">
        <f t="shared" si="9"/>
        <v>-28</v>
      </c>
      <c r="I128" s="21">
        <v>3</v>
      </c>
    </row>
    <row r="129" spans="1:9" ht="13.5">
      <c r="A129" s="1">
        <v>2</v>
      </c>
      <c r="B129" s="2" t="s">
        <v>126</v>
      </c>
      <c r="C129" s="3">
        <v>10</v>
      </c>
      <c r="D129" s="3"/>
      <c r="E129" s="3"/>
      <c r="F129" s="3">
        <f t="shared" si="8"/>
        <v>10</v>
      </c>
      <c r="G129" s="3">
        <v>10</v>
      </c>
      <c r="H129" s="16">
        <v>0</v>
      </c>
      <c r="I129" s="21">
        <v>0</v>
      </c>
    </row>
    <row r="130" spans="1:9" ht="13.5">
      <c r="A130" s="1">
        <v>3</v>
      </c>
      <c r="B130" s="2" t="s">
        <v>127</v>
      </c>
      <c r="C130" s="3">
        <v>4</v>
      </c>
      <c r="D130" s="3"/>
      <c r="E130" s="3"/>
      <c r="F130" s="3">
        <f t="shared" si="8"/>
        <v>4</v>
      </c>
      <c r="G130" s="3">
        <v>4</v>
      </c>
      <c r="H130" s="16">
        <f t="shared" si="9"/>
        <v>0</v>
      </c>
      <c r="I130" s="21">
        <v>0</v>
      </c>
    </row>
    <row r="131" spans="1:9" ht="13.5">
      <c r="A131" s="1">
        <v>4</v>
      </c>
      <c r="B131" s="2" t="s">
        <v>128</v>
      </c>
      <c r="C131" s="3">
        <v>22</v>
      </c>
      <c r="D131" s="3"/>
      <c r="E131" s="3"/>
      <c r="F131" s="3">
        <f t="shared" si="8"/>
        <v>22</v>
      </c>
      <c r="G131" s="3">
        <v>22</v>
      </c>
      <c r="H131" s="16">
        <v>0</v>
      </c>
      <c r="I131" s="21">
        <v>0</v>
      </c>
    </row>
    <row r="132" spans="1:9" ht="13.5">
      <c r="A132" s="1">
        <v>5</v>
      </c>
      <c r="B132" s="2" t="s">
        <v>129</v>
      </c>
      <c r="C132" s="3">
        <v>25</v>
      </c>
      <c r="D132" s="3"/>
      <c r="E132" s="3"/>
      <c r="F132" s="3">
        <f t="shared" si="8"/>
        <v>25</v>
      </c>
      <c r="G132" s="3">
        <v>25</v>
      </c>
      <c r="H132" s="16">
        <f t="shared" si="9"/>
        <v>0</v>
      </c>
      <c r="I132" s="21">
        <v>0</v>
      </c>
    </row>
    <row r="133" spans="1:9" ht="13.5">
      <c r="A133" s="14" t="s">
        <v>458</v>
      </c>
      <c r="B133" s="15" t="s">
        <v>130</v>
      </c>
      <c r="C133" s="16">
        <v>750</v>
      </c>
      <c r="D133" s="16">
        <v>7</v>
      </c>
      <c r="E133" s="16">
        <v>12</v>
      </c>
      <c r="F133" s="16">
        <f t="shared" si="8"/>
        <v>731</v>
      </c>
      <c r="G133" s="16">
        <v>731</v>
      </c>
      <c r="H133" s="16">
        <v>0</v>
      </c>
      <c r="I133" s="21">
        <f>H133/1484*-578</f>
        <v>0</v>
      </c>
    </row>
    <row r="134" spans="1:9" ht="13.5">
      <c r="A134" s="14" t="s">
        <v>459</v>
      </c>
      <c r="B134" s="15" t="s">
        <v>131</v>
      </c>
      <c r="C134" s="16">
        <f>SUM(C135:C159)</f>
        <v>2233</v>
      </c>
      <c r="D134" s="16">
        <f>SUM(D135:D159)</f>
        <v>10</v>
      </c>
      <c r="E134" s="16">
        <f>SUM(E135:E159)</f>
        <v>14</v>
      </c>
      <c r="F134" s="16">
        <f t="shared" si="8"/>
        <v>2209</v>
      </c>
      <c r="G134" s="16">
        <f>SUM(G135:G159)</f>
        <v>2312</v>
      </c>
      <c r="H134" s="16">
        <f>SUM(H135:H159)</f>
        <v>-103</v>
      </c>
      <c r="I134" s="23">
        <f>H134/1484*-141</f>
        <v>9.786388140161725</v>
      </c>
    </row>
    <row r="135" spans="1:9" ht="13.5">
      <c r="A135" s="1">
        <v>1</v>
      </c>
      <c r="B135" s="2" t="s">
        <v>132</v>
      </c>
      <c r="C135" s="3">
        <v>65</v>
      </c>
      <c r="D135" s="3"/>
      <c r="E135" s="3"/>
      <c r="F135" s="3">
        <f aca="true" t="shared" si="12" ref="F135:F198">C135-E135-D135</f>
        <v>65</v>
      </c>
      <c r="G135" s="3">
        <v>65</v>
      </c>
      <c r="H135" s="16">
        <v>0</v>
      </c>
      <c r="I135" s="21">
        <f>H135/-103*10</f>
        <v>0</v>
      </c>
    </row>
    <row r="136" spans="1:9" ht="13.5">
      <c r="A136" s="1">
        <v>2</v>
      </c>
      <c r="B136" s="2" t="s">
        <v>133</v>
      </c>
      <c r="C136" s="3">
        <v>78</v>
      </c>
      <c r="D136" s="3"/>
      <c r="E136" s="3"/>
      <c r="F136" s="3">
        <f t="shared" si="12"/>
        <v>78</v>
      </c>
      <c r="G136" s="3">
        <v>78</v>
      </c>
      <c r="H136" s="16">
        <f>F136-G136</f>
        <v>0</v>
      </c>
      <c r="I136" s="21">
        <f aca="true" t="shared" si="13" ref="I136:I159">H136/-103*10</f>
        <v>0</v>
      </c>
    </row>
    <row r="137" spans="1:9" ht="13.5">
      <c r="A137" s="1">
        <v>3</v>
      </c>
      <c r="B137" s="2" t="s">
        <v>134</v>
      </c>
      <c r="C137" s="3">
        <v>79</v>
      </c>
      <c r="D137" s="3"/>
      <c r="E137" s="3"/>
      <c r="F137" s="3">
        <f t="shared" si="12"/>
        <v>79</v>
      </c>
      <c r="G137" s="3">
        <v>79</v>
      </c>
      <c r="H137" s="16">
        <v>0</v>
      </c>
      <c r="I137" s="21">
        <f t="shared" si="13"/>
        <v>0</v>
      </c>
    </row>
    <row r="138" spans="1:9" ht="13.5">
      <c r="A138" s="1">
        <v>4</v>
      </c>
      <c r="B138" s="2" t="s">
        <v>135</v>
      </c>
      <c r="C138" s="3">
        <v>162</v>
      </c>
      <c r="D138" s="3">
        <v>3</v>
      </c>
      <c r="E138" s="3">
        <v>2</v>
      </c>
      <c r="F138" s="3">
        <f t="shared" si="12"/>
        <v>157</v>
      </c>
      <c r="G138" s="3">
        <v>157</v>
      </c>
      <c r="H138" s="16">
        <v>0</v>
      </c>
      <c r="I138" s="21">
        <f t="shared" si="13"/>
        <v>0</v>
      </c>
    </row>
    <row r="139" spans="1:9" ht="13.5">
      <c r="A139" s="1">
        <v>5</v>
      </c>
      <c r="B139" s="2" t="s">
        <v>136</v>
      </c>
      <c r="C139" s="3">
        <v>89</v>
      </c>
      <c r="D139" s="3"/>
      <c r="E139" s="3"/>
      <c r="F139" s="3">
        <f t="shared" si="12"/>
        <v>89</v>
      </c>
      <c r="G139" s="3">
        <v>89</v>
      </c>
      <c r="H139" s="16">
        <v>0</v>
      </c>
      <c r="I139" s="21">
        <f t="shared" si="13"/>
        <v>0</v>
      </c>
    </row>
    <row r="140" spans="1:9" ht="13.5">
      <c r="A140" s="1">
        <v>6</v>
      </c>
      <c r="B140" s="2" t="s">
        <v>137</v>
      </c>
      <c r="C140" s="3">
        <v>131</v>
      </c>
      <c r="D140" s="3"/>
      <c r="E140" s="3">
        <v>2</v>
      </c>
      <c r="F140" s="3">
        <f t="shared" si="12"/>
        <v>129</v>
      </c>
      <c r="G140" s="3">
        <v>129</v>
      </c>
      <c r="H140" s="16">
        <v>0</v>
      </c>
      <c r="I140" s="21">
        <f t="shared" si="13"/>
        <v>0</v>
      </c>
    </row>
    <row r="141" spans="1:9" ht="13.5">
      <c r="A141" s="1">
        <v>7</v>
      </c>
      <c r="B141" s="2" t="s">
        <v>138</v>
      </c>
      <c r="C141" s="3">
        <v>163</v>
      </c>
      <c r="D141" s="3"/>
      <c r="E141" s="3">
        <v>1</v>
      </c>
      <c r="F141" s="3">
        <f t="shared" si="12"/>
        <v>162</v>
      </c>
      <c r="G141" s="3">
        <v>162</v>
      </c>
      <c r="H141" s="16">
        <v>0</v>
      </c>
      <c r="I141" s="21">
        <f t="shared" si="13"/>
        <v>0</v>
      </c>
    </row>
    <row r="142" spans="1:9" ht="13.5">
      <c r="A142" s="1">
        <v>8</v>
      </c>
      <c r="B142" s="2" t="s">
        <v>139</v>
      </c>
      <c r="C142" s="3">
        <v>105</v>
      </c>
      <c r="D142" s="3"/>
      <c r="E142" s="3">
        <v>1</v>
      </c>
      <c r="F142" s="3">
        <f t="shared" si="12"/>
        <v>104</v>
      </c>
      <c r="G142" s="3">
        <v>104</v>
      </c>
      <c r="H142" s="16">
        <v>0</v>
      </c>
      <c r="I142" s="21">
        <f t="shared" si="13"/>
        <v>0</v>
      </c>
    </row>
    <row r="143" spans="1:9" ht="13.5">
      <c r="A143" s="1">
        <v>9</v>
      </c>
      <c r="B143" s="2" t="s">
        <v>140</v>
      </c>
      <c r="C143" s="3">
        <v>109</v>
      </c>
      <c r="D143" s="3"/>
      <c r="E143" s="3"/>
      <c r="F143" s="3">
        <f t="shared" si="12"/>
        <v>109</v>
      </c>
      <c r="G143" s="3">
        <v>132</v>
      </c>
      <c r="H143" s="16">
        <f>F143-G143</f>
        <v>-23</v>
      </c>
      <c r="I143" s="21">
        <f t="shared" si="13"/>
        <v>2.233009708737864</v>
      </c>
    </row>
    <row r="144" spans="1:9" ht="13.5">
      <c r="A144" s="1">
        <v>10</v>
      </c>
      <c r="B144" s="2" t="s">
        <v>141</v>
      </c>
      <c r="C144" s="3">
        <v>127</v>
      </c>
      <c r="D144" s="3"/>
      <c r="E144" s="3"/>
      <c r="F144" s="3">
        <f t="shared" si="12"/>
        <v>127</v>
      </c>
      <c r="G144" s="3">
        <v>154</v>
      </c>
      <c r="H144" s="16">
        <f>F144-G144</f>
        <v>-27</v>
      </c>
      <c r="I144" s="21">
        <f t="shared" si="13"/>
        <v>2.6213592233009706</v>
      </c>
    </row>
    <row r="145" spans="1:9" ht="13.5">
      <c r="A145" s="1">
        <v>11</v>
      </c>
      <c r="B145" s="2" t="s">
        <v>142</v>
      </c>
      <c r="C145" s="3">
        <v>76</v>
      </c>
      <c r="D145" s="3">
        <v>1</v>
      </c>
      <c r="E145" s="3"/>
      <c r="F145" s="3">
        <f t="shared" si="12"/>
        <v>75</v>
      </c>
      <c r="G145" s="3">
        <v>100</v>
      </c>
      <c r="H145" s="16">
        <f>F145-G145</f>
        <v>-25</v>
      </c>
      <c r="I145" s="21">
        <f t="shared" si="13"/>
        <v>2.4271844660194173</v>
      </c>
    </row>
    <row r="146" spans="1:9" ht="13.5">
      <c r="A146" s="1">
        <v>12</v>
      </c>
      <c r="B146" s="2" t="s">
        <v>143</v>
      </c>
      <c r="C146" s="3">
        <v>70</v>
      </c>
      <c r="D146" s="3"/>
      <c r="E146" s="3"/>
      <c r="F146" s="3">
        <f t="shared" si="12"/>
        <v>70</v>
      </c>
      <c r="G146" s="3">
        <v>70</v>
      </c>
      <c r="H146" s="16">
        <v>0</v>
      </c>
      <c r="I146" s="21">
        <f t="shared" si="13"/>
        <v>0</v>
      </c>
    </row>
    <row r="147" spans="1:9" ht="13.5">
      <c r="A147" s="1">
        <v>13</v>
      </c>
      <c r="B147" s="2" t="s">
        <v>144</v>
      </c>
      <c r="C147" s="3">
        <v>50</v>
      </c>
      <c r="D147" s="3">
        <v>1</v>
      </c>
      <c r="E147" s="3"/>
      <c r="F147" s="3">
        <f t="shared" si="12"/>
        <v>49</v>
      </c>
      <c r="G147" s="3">
        <v>49</v>
      </c>
      <c r="H147" s="16">
        <v>0</v>
      </c>
      <c r="I147" s="21">
        <f t="shared" si="13"/>
        <v>0</v>
      </c>
    </row>
    <row r="148" spans="1:9" ht="13.5">
      <c r="A148" s="1">
        <v>14</v>
      </c>
      <c r="B148" s="2" t="s">
        <v>145</v>
      </c>
      <c r="C148" s="3">
        <v>60</v>
      </c>
      <c r="D148" s="3">
        <v>1</v>
      </c>
      <c r="E148" s="3"/>
      <c r="F148" s="3">
        <f t="shared" si="12"/>
        <v>59</v>
      </c>
      <c r="G148" s="3">
        <v>59</v>
      </c>
      <c r="H148" s="16">
        <v>0</v>
      </c>
      <c r="I148" s="21">
        <f t="shared" si="13"/>
        <v>0</v>
      </c>
    </row>
    <row r="149" spans="1:9" ht="13.5">
      <c r="A149" s="1">
        <v>15</v>
      </c>
      <c r="B149" s="2" t="s">
        <v>146</v>
      </c>
      <c r="C149" s="3">
        <v>44</v>
      </c>
      <c r="D149" s="3"/>
      <c r="E149" s="3">
        <v>1</v>
      </c>
      <c r="F149" s="3">
        <f t="shared" si="12"/>
        <v>43</v>
      </c>
      <c r="G149" s="3">
        <v>45</v>
      </c>
      <c r="H149" s="16">
        <f>F149-G149</f>
        <v>-2</v>
      </c>
      <c r="I149" s="21">
        <f t="shared" si="13"/>
        <v>0.19417475728155337</v>
      </c>
    </row>
    <row r="150" spans="1:9" ht="13.5">
      <c r="A150" s="1">
        <v>16</v>
      </c>
      <c r="B150" s="2" t="s">
        <v>147</v>
      </c>
      <c r="C150" s="3">
        <v>39</v>
      </c>
      <c r="D150" s="3"/>
      <c r="E150" s="3"/>
      <c r="F150" s="3">
        <f t="shared" si="12"/>
        <v>39</v>
      </c>
      <c r="G150" s="3">
        <v>39</v>
      </c>
      <c r="H150" s="16">
        <f>F150-G150</f>
        <v>0</v>
      </c>
      <c r="I150" s="21">
        <f t="shared" si="13"/>
        <v>0</v>
      </c>
    </row>
    <row r="151" spans="1:9" ht="13.5">
      <c r="A151" s="1">
        <v>17</v>
      </c>
      <c r="B151" s="2" t="s">
        <v>148</v>
      </c>
      <c r="C151" s="3">
        <v>72</v>
      </c>
      <c r="D151" s="3"/>
      <c r="E151" s="3">
        <v>1</v>
      </c>
      <c r="F151" s="3">
        <f t="shared" si="12"/>
        <v>71</v>
      </c>
      <c r="G151" s="3">
        <v>71</v>
      </c>
      <c r="H151" s="16">
        <f>F151-G151</f>
        <v>0</v>
      </c>
      <c r="I151" s="21">
        <f t="shared" si="13"/>
        <v>0</v>
      </c>
    </row>
    <row r="152" spans="1:9" ht="13.5">
      <c r="A152" s="1">
        <v>18</v>
      </c>
      <c r="B152" s="2" t="s">
        <v>149</v>
      </c>
      <c r="C152" s="3">
        <v>53</v>
      </c>
      <c r="D152" s="3"/>
      <c r="E152" s="3"/>
      <c r="F152" s="3">
        <f t="shared" si="12"/>
        <v>53</v>
      </c>
      <c r="G152" s="3">
        <v>60</v>
      </c>
      <c r="H152" s="16">
        <f>F152-G152</f>
        <v>-7</v>
      </c>
      <c r="I152" s="21">
        <f t="shared" si="13"/>
        <v>0.6796116504854368</v>
      </c>
    </row>
    <row r="153" spans="1:9" ht="13.5">
      <c r="A153" s="1">
        <v>19</v>
      </c>
      <c r="B153" s="2" t="s">
        <v>150</v>
      </c>
      <c r="C153" s="3">
        <v>224</v>
      </c>
      <c r="D153" s="3">
        <v>2</v>
      </c>
      <c r="E153" s="3">
        <v>3</v>
      </c>
      <c r="F153" s="3">
        <f t="shared" si="12"/>
        <v>219</v>
      </c>
      <c r="G153" s="3">
        <v>219</v>
      </c>
      <c r="H153" s="16">
        <v>0</v>
      </c>
      <c r="I153" s="21">
        <f t="shared" si="13"/>
        <v>0</v>
      </c>
    </row>
    <row r="154" spans="1:9" ht="13.5">
      <c r="A154" s="1">
        <v>20</v>
      </c>
      <c r="B154" s="2" t="s">
        <v>151</v>
      </c>
      <c r="C154" s="3">
        <v>59</v>
      </c>
      <c r="D154" s="3"/>
      <c r="E154" s="3"/>
      <c r="F154" s="3">
        <f t="shared" si="12"/>
        <v>59</v>
      </c>
      <c r="G154" s="3">
        <v>60</v>
      </c>
      <c r="H154" s="16">
        <f aca="true" t="shared" si="14" ref="H154:H159">F154-G154</f>
        <v>-1</v>
      </c>
      <c r="I154" s="21">
        <f t="shared" si="13"/>
        <v>0.09708737864077668</v>
      </c>
    </row>
    <row r="155" spans="1:9" ht="13.5">
      <c r="A155" s="1">
        <v>21</v>
      </c>
      <c r="B155" s="2" t="s">
        <v>152</v>
      </c>
      <c r="C155" s="3">
        <v>132</v>
      </c>
      <c r="D155" s="3"/>
      <c r="E155" s="3">
        <v>2</v>
      </c>
      <c r="F155" s="3">
        <f t="shared" si="12"/>
        <v>130</v>
      </c>
      <c r="G155" s="3">
        <v>136</v>
      </c>
      <c r="H155" s="16">
        <f t="shared" si="14"/>
        <v>-6</v>
      </c>
      <c r="I155" s="21">
        <f t="shared" si="13"/>
        <v>0.5825242718446602</v>
      </c>
    </row>
    <row r="156" spans="1:9" ht="13.5">
      <c r="A156" s="1">
        <v>22</v>
      </c>
      <c r="B156" s="2" t="s">
        <v>153</v>
      </c>
      <c r="C156" s="3">
        <v>40</v>
      </c>
      <c r="D156" s="3"/>
      <c r="E156" s="3">
        <v>1</v>
      </c>
      <c r="F156" s="3">
        <f t="shared" si="12"/>
        <v>39</v>
      </c>
      <c r="G156" s="3">
        <v>51</v>
      </c>
      <c r="H156" s="16">
        <f t="shared" si="14"/>
        <v>-12</v>
      </c>
      <c r="I156" s="21">
        <f t="shared" si="13"/>
        <v>1.1650485436893203</v>
      </c>
    </row>
    <row r="157" spans="1:9" ht="13.5">
      <c r="A157" s="1">
        <v>23</v>
      </c>
      <c r="B157" s="2" t="s">
        <v>154</v>
      </c>
      <c r="C157" s="3">
        <v>43</v>
      </c>
      <c r="D157" s="3"/>
      <c r="E157" s="3"/>
      <c r="F157" s="3">
        <f t="shared" si="12"/>
        <v>43</v>
      </c>
      <c r="G157" s="3">
        <v>43</v>
      </c>
      <c r="H157" s="16">
        <f t="shared" si="14"/>
        <v>0</v>
      </c>
      <c r="I157" s="21">
        <f t="shared" si="13"/>
        <v>0</v>
      </c>
    </row>
    <row r="158" spans="1:9" ht="13.5">
      <c r="A158" s="1">
        <v>24</v>
      </c>
      <c r="B158" s="2" t="s">
        <v>155</v>
      </c>
      <c r="C158" s="3">
        <v>163</v>
      </c>
      <c r="D158" s="3">
        <v>2</v>
      </c>
      <c r="E158" s="3"/>
      <c r="F158" s="3">
        <f t="shared" si="12"/>
        <v>161</v>
      </c>
      <c r="G158" s="3">
        <v>161</v>
      </c>
      <c r="H158" s="16">
        <f t="shared" si="14"/>
        <v>0</v>
      </c>
      <c r="I158" s="21">
        <f t="shared" si="13"/>
        <v>0</v>
      </c>
    </row>
    <row r="159" spans="1:9" ht="13.5">
      <c r="A159" s="1">
        <v>25</v>
      </c>
      <c r="B159" s="2" t="s">
        <v>156</v>
      </c>
      <c r="C159" s="3"/>
      <c r="D159" s="3"/>
      <c r="E159" s="3"/>
      <c r="F159" s="3">
        <f t="shared" si="12"/>
        <v>0</v>
      </c>
      <c r="G159" s="3"/>
      <c r="H159" s="16">
        <f t="shared" si="14"/>
        <v>0</v>
      </c>
      <c r="I159" s="21">
        <f t="shared" si="13"/>
        <v>0</v>
      </c>
    </row>
    <row r="160" spans="1:9" ht="13.5">
      <c r="A160" s="14" t="s">
        <v>460</v>
      </c>
      <c r="B160" s="15" t="s">
        <v>157</v>
      </c>
      <c r="C160" s="16">
        <f>SUM(C161:C195)</f>
        <v>5243</v>
      </c>
      <c r="D160" s="16">
        <f>SUM(D161:D195)</f>
        <v>3</v>
      </c>
      <c r="E160" s="16">
        <f>SUM(E161:E195)</f>
        <v>13</v>
      </c>
      <c r="F160" s="16">
        <f t="shared" si="12"/>
        <v>5227</v>
      </c>
      <c r="G160" s="16">
        <f>SUM(G161:G195)</f>
        <v>5308</v>
      </c>
      <c r="H160" s="16">
        <f>SUM(H161:H195)</f>
        <v>-81</v>
      </c>
      <c r="I160" s="23">
        <f>H160/1484*-141</f>
        <v>7.696091644204852</v>
      </c>
    </row>
    <row r="161" spans="1:9" ht="13.5">
      <c r="A161" s="1">
        <v>1</v>
      </c>
      <c r="B161" s="2" t="s">
        <v>158</v>
      </c>
      <c r="C161" s="3">
        <v>138</v>
      </c>
      <c r="D161" s="3"/>
      <c r="E161" s="3">
        <v>1</v>
      </c>
      <c r="F161" s="3">
        <f t="shared" si="12"/>
        <v>137</v>
      </c>
      <c r="G161" s="3">
        <v>137</v>
      </c>
      <c r="H161" s="16">
        <f>F161-G161</f>
        <v>0</v>
      </c>
      <c r="I161" s="21">
        <f>H161/-81*30</f>
        <v>0</v>
      </c>
    </row>
    <row r="162" spans="1:9" ht="13.5">
      <c r="A162" s="1">
        <v>2</v>
      </c>
      <c r="B162" s="2" t="s">
        <v>159</v>
      </c>
      <c r="C162" s="3">
        <v>255</v>
      </c>
      <c r="D162" s="3"/>
      <c r="E162" s="3"/>
      <c r="F162" s="3">
        <f t="shared" si="12"/>
        <v>255</v>
      </c>
      <c r="G162" s="3">
        <v>255</v>
      </c>
      <c r="H162" s="16">
        <v>0</v>
      </c>
      <c r="I162" s="21">
        <f aca="true" t="shared" si="15" ref="I162:I191">H162/-81*30</f>
        <v>0</v>
      </c>
    </row>
    <row r="163" spans="1:9" ht="13.5">
      <c r="A163" s="1">
        <v>3</v>
      </c>
      <c r="B163" s="2" t="s">
        <v>160</v>
      </c>
      <c r="C163" s="3">
        <v>51</v>
      </c>
      <c r="D163" s="3"/>
      <c r="E163" s="3">
        <v>1</v>
      </c>
      <c r="F163" s="3">
        <f t="shared" si="12"/>
        <v>50</v>
      </c>
      <c r="G163" s="3">
        <v>50</v>
      </c>
      <c r="H163" s="16">
        <v>0</v>
      </c>
      <c r="I163" s="21">
        <f t="shared" si="15"/>
        <v>0</v>
      </c>
    </row>
    <row r="164" spans="1:9" ht="13.5">
      <c r="A164" s="1">
        <v>4</v>
      </c>
      <c r="B164" s="2" t="s">
        <v>161</v>
      </c>
      <c r="C164" s="3">
        <v>131</v>
      </c>
      <c r="D164" s="3"/>
      <c r="E164" s="3"/>
      <c r="F164" s="3">
        <f t="shared" si="12"/>
        <v>131</v>
      </c>
      <c r="G164" s="3">
        <v>131</v>
      </c>
      <c r="H164" s="16">
        <v>0</v>
      </c>
      <c r="I164" s="21">
        <f t="shared" si="15"/>
        <v>0</v>
      </c>
    </row>
    <row r="165" spans="1:9" ht="13.5">
      <c r="A165" s="1">
        <v>5</v>
      </c>
      <c r="B165" s="2" t="s">
        <v>162</v>
      </c>
      <c r="C165" s="3">
        <v>164</v>
      </c>
      <c r="D165" s="3"/>
      <c r="E165" s="3"/>
      <c r="F165" s="3">
        <f t="shared" si="12"/>
        <v>164</v>
      </c>
      <c r="G165" s="3">
        <v>164</v>
      </c>
      <c r="H165" s="16">
        <v>0</v>
      </c>
      <c r="I165" s="21">
        <f t="shared" si="15"/>
        <v>0</v>
      </c>
    </row>
    <row r="166" spans="1:9" ht="13.5">
      <c r="A166" s="1">
        <v>6</v>
      </c>
      <c r="B166" s="2" t="s">
        <v>163</v>
      </c>
      <c r="C166" s="3">
        <v>252</v>
      </c>
      <c r="D166" s="3"/>
      <c r="E166" s="3">
        <v>1</v>
      </c>
      <c r="F166" s="3">
        <f t="shared" si="12"/>
        <v>251</v>
      </c>
      <c r="G166" s="3">
        <v>251</v>
      </c>
      <c r="H166" s="16">
        <v>0</v>
      </c>
      <c r="I166" s="21">
        <f t="shared" si="15"/>
        <v>0</v>
      </c>
    </row>
    <row r="167" spans="1:9" ht="13.5">
      <c r="A167" s="1">
        <v>7</v>
      </c>
      <c r="B167" s="2" t="s">
        <v>164</v>
      </c>
      <c r="C167" s="3">
        <v>71</v>
      </c>
      <c r="D167" s="3"/>
      <c r="E167" s="3"/>
      <c r="F167" s="3">
        <f t="shared" si="12"/>
        <v>71</v>
      </c>
      <c r="G167" s="3">
        <v>71</v>
      </c>
      <c r="H167" s="16">
        <v>0</v>
      </c>
      <c r="I167" s="21">
        <f t="shared" si="15"/>
        <v>0</v>
      </c>
    </row>
    <row r="168" spans="1:9" ht="13.5">
      <c r="A168" s="1">
        <v>8</v>
      </c>
      <c r="B168" s="2" t="s">
        <v>165</v>
      </c>
      <c r="C168" s="3">
        <v>183</v>
      </c>
      <c r="D168" s="3"/>
      <c r="E168" s="3"/>
      <c r="F168" s="3">
        <f t="shared" si="12"/>
        <v>183</v>
      </c>
      <c r="G168" s="3">
        <v>183</v>
      </c>
      <c r="H168" s="16">
        <v>0</v>
      </c>
      <c r="I168" s="21">
        <f t="shared" si="15"/>
        <v>0</v>
      </c>
    </row>
    <row r="169" spans="1:9" ht="13.5">
      <c r="A169" s="1">
        <v>9</v>
      </c>
      <c r="B169" s="2" t="s">
        <v>166</v>
      </c>
      <c r="C169" s="3">
        <v>229</v>
      </c>
      <c r="D169" s="3">
        <v>1</v>
      </c>
      <c r="E169" s="3"/>
      <c r="F169" s="3">
        <f t="shared" si="12"/>
        <v>228</v>
      </c>
      <c r="G169" s="3">
        <v>228</v>
      </c>
      <c r="H169" s="16">
        <v>0</v>
      </c>
      <c r="I169" s="21">
        <f t="shared" si="15"/>
        <v>0</v>
      </c>
    </row>
    <row r="170" spans="1:9" ht="13.5">
      <c r="A170" s="1">
        <v>10</v>
      </c>
      <c r="B170" s="2" t="s">
        <v>167</v>
      </c>
      <c r="C170" s="3">
        <v>520</v>
      </c>
      <c r="D170" s="3"/>
      <c r="E170" s="3">
        <v>4</v>
      </c>
      <c r="F170" s="3">
        <f t="shared" si="12"/>
        <v>516</v>
      </c>
      <c r="G170" s="3">
        <v>516</v>
      </c>
      <c r="H170" s="16">
        <v>0</v>
      </c>
      <c r="I170" s="21">
        <f t="shared" si="15"/>
        <v>0</v>
      </c>
    </row>
    <row r="171" spans="1:9" ht="13.5">
      <c r="A171" s="1">
        <v>11</v>
      </c>
      <c r="B171" s="2" t="s">
        <v>168</v>
      </c>
      <c r="C171" s="3">
        <v>235</v>
      </c>
      <c r="D171" s="3"/>
      <c r="E171" s="3">
        <v>2</v>
      </c>
      <c r="F171" s="3">
        <f t="shared" si="12"/>
        <v>233</v>
      </c>
      <c r="G171" s="3">
        <v>233</v>
      </c>
      <c r="H171" s="16">
        <v>0</v>
      </c>
      <c r="I171" s="21">
        <f t="shared" si="15"/>
        <v>0</v>
      </c>
    </row>
    <row r="172" spans="1:9" ht="13.5">
      <c r="A172" s="1">
        <v>12</v>
      </c>
      <c r="B172" s="2" t="s">
        <v>169</v>
      </c>
      <c r="C172" s="3">
        <v>207</v>
      </c>
      <c r="D172" s="3"/>
      <c r="E172" s="3"/>
      <c r="F172" s="3">
        <f t="shared" si="12"/>
        <v>207</v>
      </c>
      <c r="G172" s="3">
        <v>207</v>
      </c>
      <c r="H172" s="16">
        <v>0</v>
      </c>
      <c r="I172" s="21">
        <f t="shared" si="15"/>
        <v>0</v>
      </c>
    </row>
    <row r="173" spans="1:9" ht="13.5">
      <c r="A173" s="1">
        <v>13</v>
      </c>
      <c r="B173" s="2" t="s">
        <v>170</v>
      </c>
      <c r="C173" s="3">
        <v>219</v>
      </c>
      <c r="D173" s="3"/>
      <c r="E173" s="3"/>
      <c r="F173" s="3">
        <f t="shared" si="12"/>
        <v>219</v>
      </c>
      <c r="G173" s="3">
        <v>223</v>
      </c>
      <c r="H173" s="16">
        <f>F173-G173</f>
        <v>-4</v>
      </c>
      <c r="I173" s="21">
        <f>H173/-81*8</f>
        <v>0.3950617283950617</v>
      </c>
    </row>
    <row r="174" spans="1:9" ht="13.5">
      <c r="A174" s="1">
        <v>14</v>
      </c>
      <c r="B174" s="2" t="s">
        <v>171</v>
      </c>
      <c r="C174" s="3">
        <v>289</v>
      </c>
      <c r="D174" s="3"/>
      <c r="E174" s="3"/>
      <c r="F174" s="3">
        <f t="shared" si="12"/>
        <v>289</v>
      </c>
      <c r="G174" s="3">
        <v>289</v>
      </c>
      <c r="H174" s="16">
        <f>F174-G174</f>
        <v>0</v>
      </c>
      <c r="I174" s="21">
        <f t="shared" si="15"/>
        <v>0</v>
      </c>
    </row>
    <row r="175" spans="1:9" ht="13.5">
      <c r="A175" s="1">
        <v>15</v>
      </c>
      <c r="B175" s="2" t="s">
        <v>172</v>
      </c>
      <c r="C175" s="3">
        <v>129</v>
      </c>
      <c r="D175" s="3">
        <v>1</v>
      </c>
      <c r="E175" s="3"/>
      <c r="F175" s="3">
        <f t="shared" si="12"/>
        <v>128</v>
      </c>
      <c r="G175" s="3">
        <v>128</v>
      </c>
      <c r="H175" s="16">
        <f>F175-G175</f>
        <v>0</v>
      </c>
      <c r="I175" s="21">
        <f t="shared" si="15"/>
        <v>0</v>
      </c>
    </row>
    <row r="176" spans="1:9" ht="13.5">
      <c r="A176" s="1">
        <v>16</v>
      </c>
      <c r="B176" s="2" t="s">
        <v>173</v>
      </c>
      <c r="C176" s="3">
        <v>156</v>
      </c>
      <c r="D176" s="3"/>
      <c r="E176" s="3">
        <v>1</v>
      </c>
      <c r="F176" s="3">
        <f t="shared" si="12"/>
        <v>155</v>
      </c>
      <c r="G176" s="3">
        <v>155</v>
      </c>
      <c r="H176" s="16">
        <v>0</v>
      </c>
      <c r="I176" s="21">
        <f t="shared" si="15"/>
        <v>0</v>
      </c>
    </row>
    <row r="177" spans="1:9" ht="13.5">
      <c r="A177" s="1">
        <v>17</v>
      </c>
      <c r="B177" s="2" t="s">
        <v>174</v>
      </c>
      <c r="C177" s="3">
        <v>73</v>
      </c>
      <c r="D177" s="3"/>
      <c r="E177" s="3"/>
      <c r="F177" s="3">
        <f t="shared" si="12"/>
        <v>73</v>
      </c>
      <c r="G177" s="3">
        <v>73</v>
      </c>
      <c r="H177" s="16">
        <v>0</v>
      </c>
      <c r="I177" s="21">
        <f t="shared" si="15"/>
        <v>0</v>
      </c>
    </row>
    <row r="178" spans="1:9" ht="13.5">
      <c r="A178" s="1">
        <v>18</v>
      </c>
      <c r="B178" s="2" t="s">
        <v>175</v>
      </c>
      <c r="C178" s="3">
        <v>137</v>
      </c>
      <c r="D178" s="3">
        <v>1</v>
      </c>
      <c r="E178" s="3"/>
      <c r="F178" s="3">
        <f t="shared" si="12"/>
        <v>136</v>
      </c>
      <c r="G178" s="3">
        <v>136</v>
      </c>
      <c r="H178" s="16">
        <v>0</v>
      </c>
      <c r="I178" s="21">
        <f t="shared" si="15"/>
        <v>0</v>
      </c>
    </row>
    <row r="179" spans="1:9" ht="13.5">
      <c r="A179" s="1">
        <v>19</v>
      </c>
      <c r="B179" s="2" t="s">
        <v>176</v>
      </c>
      <c r="C179" s="3">
        <v>85</v>
      </c>
      <c r="D179" s="3"/>
      <c r="E179" s="3"/>
      <c r="F179" s="3">
        <f t="shared" si="12"/>
        <v>85</v>
      </c>
      <c r="G179" s="3">
        <v>95</v>
      </c>
      <c r="H179" s="16">
        <f>F179-G179</f>
        <v>-10</v>
      </c>
      <c r="I179" s="21">
        <f>H179/-81*8</f>
        <v>0.9876543209876543</v>
      </c>
    </row>
    <row r="180" spans="1:9" ht="13.5">
      <c r="A180" s="1">
        <v>20</v>
      </c>
      <c r="B180" s="2" t="s">
        <v>177</v>
      </c>
      <c r="C180" s="3">
        <v>102</v>
      </c>
      <c r="D180" s="3"/>
      <c r="E180" s="3"/>
      <c r="F180" s="3">
        <f t="shared" si="12"/>
        <v>102</v>
      </c>
      <c r="G180" s="3">
        <v>102</v>
      </c>
      <c r="H180" s="16">
        <v>0</v>
      </c>
      <c r="I180" s="21">
        <f t="shared" si="15"/>
        <v>0</v>
      </c>
    </row>
    <row r="181" spans="1:9" ht="13.5">
      <c r="A181" s="1">
        <v>21</v>
      </c>
      <c r="B181" s="2" t="s">
        <v>178</v>
      </c>
      <c r="C181" s="3">
        <v>103</v>
      </c>
      <c r="D181" s="3"/>
      <c r="E181" s="3"/>
      <c r="F181" s="3">
        <f t="shared" si="12"/>
        <v>103</v>
      </c>
      <c r="G181" s="3">
        <v>131</v>
      </c>
      <c r="H181" s="16">
        <f>F181-G181</f>
        <v>-28</v>
      </c>
      <c r="I181" s="21">
        <f>H181/-81*8</f>
        <v>2.765432098765432</v>
      </c>
    </row>
    <row r="182" spans="1:9" ht="13.5">
      <c r="A182" s="1">
        <v>22</v>
      </c>
      <c r="B182" s="2" t="s">
        <v>179</v>
      </c>
      <c r="C182" s="3">
        <v>153</v>
      </c>
      <c r="D182" s="3"/>
      <c r="E182" s="3"/>
      <c r="F182" s="3">
        <f t="shared" si="12"/>
        <v>153</v>
      </c>
      <c r="G182" s="3">
        <v>153</v>
      </c>
      <c r="H182" s="16">
        <v>0</v>
      </c>
      <c r="I182" s="21">
        <f t="shared" si="15"/>
        <v>0</v>
      </c>
    </row>
    <row r="183" spans="1:9" ht="13.5">
      <c r="A183" s="1">
        <v>23</v>
      </c>
      <c r="B183" s="2" t="s">
        <v>180</v>
      </c>
      <c r="C183" s="3">
        <v>107</v>
      </c>
      <c r="D183" s="3"/>
      <c r="E183" s="3"/>
      <c r="F183" s="3">
        <f t="shared" si="12"/>
        <v>107</v>
      </c>
      <c r="G183" s="3">
        <v>107</v>
      </c>
      <c r="H183" s="16">
        <v>0</v>
      </c>
      <c r="I183" s="21">
        <f t="shared" si="15"/>
        <v>0</v>
      </c>
    </row>
    <row r="184" spans="1:9" ht="13.5">
      <c r="A184" s="1">
        <v>24</v>
      </c>
      <c r="B184" s="2" t="s">
        <v>181</v>
      </c>
      <c r="C184" s="3">
        <v>143</v>
      </c>
      <c r="D184" s="3"/>
      <c r="E184" s="3"/>
      <c r="F184" s="3">
        <f t="shared" si="12"/>
        <v>143</v>
      </c>
      <c r="G184" s="3">
        <v>143</v>
      </c>
      <c r="H184" s="16">
        <f>F184-G184</f>
        <v>0</v>
      </c>
      <c r="I184" s="21">
        <f t="shared" si="15"/>
        <v>0</v>
      </c>
    </row>
    <row r="185" spans="1:9" ht="13.5">
      <c r="A185" s="1">
        <v>25</v>
      </c>
      <c r="B185" s="2" t="s">
        <v>182</v>
      </c>
      <c r="C185" s="3">
        <v>77</v>
      </c>
      <c r="D185" s="3"/>
      <c r="E185" s="3"/>
      <c r="F185" s="3">
        <f t="shared" si="12"/>
        <v>77</v>
      </c>
      <c r="G185" s="3">
        <v>81</v>
      </c>
      <c r="H185" s="16">
        <f>F185-G185</f>
        <v>-4</v>
      </c>
      <c r="I185" s="21">
        <f>H185/-81*8</f>
        <v>0.3950617283950617</v>
      </c>
    </row>
    <row r="186" spans="1:9" ht="13.5">
      <c r="A186" s="1">
        <v>26</v>
      </c>
      <c r="B186" s="2" t="s">
        <v>183</v>
      </c>
      <c r="C186" s="3">
        <v>98</v>
      </c>
      <c r="D186" s="3"/>
      <c r="E186" s="3"/>
      <c r="F186" s="3">
        <f t="shared" si="12"/>
        <v>98</v>
      </c>
      <c r="G186" s="3">
        <v>98</v>
      </c>
      <c r="H186" s="16">
        <v>0</v>
      </c>
      <c r="I186" s="21">
        <f t="shared" si="15"/>
        <v>0</v>
      </c>
    </row>
    <row r="187" spans="1:9" ht="13.5">
      <c r="A187" s="1">
        <v>27</v>
      </c>
      <c r="B187" s="2" t="s">
        <v>184</v>
      </c>
      <c r="C187" s="3">
        <v>132</v>
      </c>
      <c r="D187" s="3"/>
      <c r="E187" s="3">
        <v>1</v>
      </c>
      <c r="F187" s="3">
        <f t="shared" si="12"/>
        <v>131</v>
      </c>
      <c r="G187" s="3">
        <v>131</v>
      </c>
      <c r="H187" s="16">
        <v>0</v>
      </c>
      <c r="I187" s="21">
        <f t="shared" si="15"/>
        <v>0</v>
      </c>
    </row>
    <row r="188" spans="1:9" ht="13.5">
      <c r="A188" s="1">
        <v>28</v>
      </c>
      <c r="B188" s="2" t="s">
        <v>185</v>
      </c>
      <c r="C188" s="3">
        <v>78</v>
      </c>
      <c r="D188" s="3"/>
      <c r="E188" s="3"/>
      <c r="F188" s="3">
        <f t="shared" si="12"/>
        <v>78</v>
      </c>
      <c r="G188" s="3">
        <v>85</v>
      </c>
      <c r="H188" s="16">
        <f>F188-G188</f>
        <v>-7</v>
      </c>
      <c r="I188" s="21">
        <f>H188/-81*8</f>
        <v>0.691358024691358</v>
      </c>
    </row>
    <row r="189" spans="1:9" ht="13.5">
      <c r="A189" s="1">
        <v>29</v>
      </c>
      <c r="B189" s="2" t="s">
        <v>186</v>
      </c>
      <c r="C189" s="3">
        <v>66</v>
      </c>
      <c r="D189" s="3"/>
      <c r="E189" s="3"/>
      <c r="F189" s="3">
        <f t="shared" si="12"/>
        <v>66</v>
      </c>
      <c r="G189" s="3">
        <v>82</v>
      </c>
      <c r="H189" s="16">
        <f>F189-G189</f>
        <v>-16</v>
      </c>
      <c r="I189" s="21">
        <f>H189/-81*8</f>
        <v>1.5802469135802468</v>
      </c>
    </row>
    <row r="190" spans="1:9" ht="13.5">
      <c r="A190" s="1">
        <v>30</v>
      </c>
      <c r="B190" s="2" t="s">
        <v>187</v>
      </c>
      <c r="C190" s="3">
        <v>65</v>
      </c>
      <c r="D190" s="3"/>
      <c r="E190" s="3"/>
      <c r="F190" s="3">
        <f t="shared" si="12"/>
        <v>65</v>
      </c>
      <c r="G190" s="3">
        <v>65</v>
      </c>
      <c r="H190" s="16">
        <v>0</v>
      </c>
      <c r="I190" s="21">
        <f t="shared" si="15"/>
        <v>0</v>
      </c>
    </row>
    <row r="191" spans="1:9" ht="13.5">
      <c r="A191" s="1">
        <v>31</v>
      </c>
      <c r="B191" s="2" t="s">
        <v>188</v>
      </c>
      <c r="C191" s="3">
        <v>147</v>
      </c>
      <c r="D191" s="3"/>
      <c r="E191" s="3">
        <v>1</v>
      </c>
      <c r="F191" s="3">
        <f t="shared" si="12"/>
        <v>146</v>
      </c>
      <c r="G191" s="3">
        <v>146</v>
      </c>
      <c r="H191" s="16">
        <v>0</v>
      </c>
      <c r="I191" s="21">
        <f t="shared" si="15"/>
        <v>0</v>
      </c>
    </row>
    <row r="192" spans="1:9" ht="13.5">
      <c r="A192" s="1">
        <v>32</v>
      </c>
      <c r="B192" s="2" t="s">
        <v>189</v>
      </c>
      <c r="C192" s="3">
        <v>45</v>
      </c>
      <c r="D192" s="3"/>
      <c r="E192" s="3"/>
      <c r="F192" s="3">
        <f t="shared" si="12"/>
        <v>45</v>
      </c>
      <c r="G192" s="3">
        <v>48</v>
      </c>
      <c r="H192" s="16">
        <f>F192-G192</f>
        <v>-3</v>
      </c>
      <c r="I192" s="21">
        <f>H192/-81*8</f>
        <v>0.2962962962962963</v>
      </c>
    </row>
    <row r="193" spans="1:9" ht="13.5">
      <c r="A193" s="1">
        <v>33</v>
      </c>
      <c r="B193" s="2" t="s">
        <v>190</v>
      </c>
      <c r="C193" s="3">
        <v>297</v>
      </c>
      <c r="D193" s="3"/>
      <c r="E193" s="3">
        <v>1</v>
      </c>
      <c r="F193" s="3">
        <f t="shared" si="12"/>
        <v>296</v>
      </c>
      <c r="G193" s="3">
        <v>296</v>
      </c>
      <c r="H193" s="16">
        <v>0</v>
      </c>
      <c r="I193" s="21">
        <f>H193/-81*8</f>
        <v>0</v>
      </c>
    </row>
    <row r="194" spans="1:9" ht="13.5">
      <c r="A194" s="1">
        <v>34</v>
      </c>
      <c r="B194" s="2" t="s">
        <v>191</v>
      </c>
      <c r="C194" s="3">
        <v>50</v>
      </c>
      <c r="D194" s="3"/>
      <c r="E194" s="3"/>
      <c r="F194" s="3">
        <f t="shared" si="12"/>
        <v>50</v>
      </c>
      <c r="G194" s="3">
        <v>59</v>
      </c>
      <c r="H194" s="16">
        <f>F194-G194</f>
        <v>-9</v>
      </c>
      <c r="I194" s="21">
        <f>H194/-81*8</f>
        <v>0.8888888888888888</v>
      </c>
    </row>
    <row r="195" spans="1:9" ht="13.5">
      <c r="A195" s="1">
        <v>35</v>
      </c>
      <c r="B195" s="2" t="s">
        <v>192</v>
      </c>
      <c r="C195" s="3">
        <v>56</v>
      </c>
      <c r="D195" s="3"/>
      <c r="E195" s="3"/>
      <c r="F195" s="3">
        <f t="shared" si="12"/>
        <v>56</v>
      </c>
      <c r="G195" s="3">
        <v>56</v>
      </c>
      <c r="H195" s="16">
        <f>F195-G195</f>
        <v>0</v>
      </c>
      <c r="I195" s="21">
        <f>H195/-81*8</f>
        <v>0</v>
      </c>
    </row>
    <row r="196" spans="1:9" ht="13.5">
      <c r="A196" s="14" t="s">
        <v>461</v>
      </c>
      <c r="B196" s="15" t="s">
        <v>193</v>
      </c>
      <c r="C196" s="16">
        <f>SUM(C197:C201)</f>
        <v>1704</v>
      </c>
      <c r="D196" s="16">
        <f>SUM(D197:D201)</f>
        <v>4</v>
      </c>
      <c r="E196" s="16">
        <f>SUM(E197:E201)</f>
        <v>10</v>
      </c>
      <c r="F196" s="16">
        <f t="shared" si="12"/>
        <v>1690</v>
      </c>
      <c r="G196" s="16">
        <f>SUM(G197:G201)</f>
        <v>1690</v>
      </c>
      <c r="H196" s="16">
        <f>SUM(H197:H201)</f>
        <v>0</v>
      </c>
      <c r="I196" s="21">
        <f>H196/1484*-578</f>
        <v>0</v>
      </c>
    </row>
    <row r="197" spans="1:9" ht="13.5">
      <c r="A197" s="1">
        <v>1</v>
      </c>
      <c r="B197" s="2" t="s">
        <v>194</v>
      </c>
      <c r="C197" s="3">
        <v>296</v>
      </c>
      <c r="D197" s="3"/>
      <c r="E197" s="3">
        <v>4</v>
      </c>
      <c r="F197" s="3">
        <f t="shared" si="12"/>
        <v>292</v>
      </c>
      <c r="G197" s="3">
        <v>292</v>
      </c>
      <c r="H197" s="16">
        <v>0</v>
      </c>
      <c r="I197" s="21">
        <v>0</v>
      </c>
    </row>
    <row r="198" spans="1:9" ht="13.5">
      <c r="A198" s="1">
        <v>2</v>
      </c>
      <c r="B198" s="2" t="s">
        <v>195</v>
      </c>
      <c r="C198" s="3">
        <v>477</v>
      </c>
      <c r="D198" s="3"/>
      <c r="E198" s="3">
        <v>2</v>
      </c>
      <c r="F198" s="3">
        <f t="shared" si="12"/>
        <v>475</v>
      </c>
      <c r="G198" s="3">
        <v>475</v>
      </c>
      <c r="H198" s="16">
        <v>0</v>
      </c>
      <c r="I198" s="21">
        <v>0</v>
      </c>
    </row>
    <row r="199" spans="1:9" ht="13.5">
      <c r="A199" s="1">
        <v>3</v>
      </c>
      <c r="B199" s="2" t="s">
        <v>196</v>
      </c>
      <c r="C199" s="3">
        <v>194</v>
      </c>
      <c r="D199" s="3"/>
      <c r="E199" s="3">
        <v>1</v>
      </c>
      <c r="F199" s="3">
        <f aca="true" t="shared" si="16" ref="F199:F262">C199-E199-D199</f>
        <v>193</v>
      </c>
      <c r="G199" s="3">
        <v>193</v>
      </c>
      <c r="H199" s="16">
        <v>0</v>
      </c>
      <c r="I199" s="21">
        <v>0</v>
      </c>
    </row>
    <row r="200" spans="1:9" ht="13.5">
      <c r="A200" s="1">
        <v>4</v>
      </c>
      <c r="B200" s="2" t="s">
        <v>197</v>
      </c>
      <c r="C200" s="3">
        <v>457</v>
      </c>
      <c r="D200" s="3">
        <v>2</v>
      </c>
      <c r="E200" s="3">
        <v>1</v>
      </c>
      <c r="F200" s="3">
        <f t="shared" si="16"/>
        <v>454</v>
      </c>
      <c r="G200" s="3">
        <v>454</v>
      </c>
      <c r="H200" s="16">
        <v>0</v>
      </c>
      <c r="I200" s="21">
        <v>0</v>
      </c>
    </row>
    <row r="201" spans="1:9" ht="13.5">
      <c r="A201" s="1">
        <v>5</v>
      </c>
      <c r="B201" s="2" t="s">
        <v>198</v>
      </c>
      <c r="C201" s="3">
        <v>280</v>
      </c>
      <c r="D201" s="3">
        <v>2</v>
      </c>
      <c r="E201" s="3">
        <v>2</v>
      </c>
      <c r="F201" s="3">
        <f t="shared" si="16"/>
        <v>276</v>
      </c>
      <c r="G201" s="3">
        <v>276</v>
      </c>
      <c r="H201" s="16">
        <v>0</v>
      </c>
      <c r="I201" s="21">
        <v>0</v>
      </c>
    </row>
    <row r="202" spans="1:9" ht="13.5">
      <c r="A202" s="14" t="s">
        <v>462</v>
      </c>
      <c r="B202" s="15" t="s">
        <v>199</v>
      </c>
      <c r="C202" s="16">
        <f>SUM(C203:C240)</f>
        <v>4161</v>
      </c>
      <c r="D202" s="16">
        <f>SUM(D203:D240)</f>
        <v>10</v>
      </c>
      <c r="E202" s="16">
        <f>SUM(E203:E240)</f>
        <v>15</v>
      </c>
      <c r="F202" s="16">
        <f t="shared" si="16"/>
        <v>4136</v>
      </c>
      <c r="G202" s="16">
        <f>SUM(G203:G240)</f>
        <v>4437</v>
      </c>
      <c r="H202" s="16">
        <f>SUM(H203:H240)</f>
        <v>-301</v>
      </c>
      <c r="I202" s="23">
        <f>H202/1484*-141</f>
        <v>28.599056603773587</v>
      </c>
    </row>
    <row r="203" spans="1:9" ht="13.5">
      <c r="A203" s="1">
        <v>1</v>
      </c>
      <c r="B203" s="2" t="s">
        <v>200</v>
      </c>
      <c r="C203" s="3">
        <v>116</v>
      </c>
      <c r="D203" s="3"/>
      <c r="E203" s="3"/>
      <c r="F203" s="3">
        <f t="shared" si="16"/>
        <v>116</v>
      </c>
      <c r="G203" s="3">
        <v>116</v>
      </c>
      <c r="H203" s="16">
        <v>0</v>
      </c>
      <c r="I203" s="21">
        <f>H203/-301*111</f>
        <v>0</v>
      </c>
    </row>
    <row r="204" spans="1:9" ht="13.5">
      <c r="A204" s="1">
        <v>2</v>
      </c>
      <c r="B204" s="2" t="s">
        <v>201</v>
      </c>
      <c r="C204" s="3">
        <v>75</v>
      </c>
      <c r="D204" s="3"/>
      <c r="E204" s="3"/>
      <c r="F204" s="3">
        <f t="shared" si="16"/>
        <v>75</v>
      </c>
      <c r="G204" s="3">
        <v>75</v>
      </c>
      <c r="H204" s="16">
        <v>0</v>
      </c>
      <c r="I204" s="21">
        <f>H204/-301*111</f>
        <v>0</v>
      </c>
    </row>
    <row r="205" spans="1:9" ht="13.5">
      <c r="A205" s="1">
        <v>3</v>
      </c>
      <c r="B205" s="2" t="s">
        <v>202</v>
      </c>
      <c r="C205" s="3">
        <v>167</v>
      </c>
      <c r="D205" s="3">
        <v>1</v>
      </c>
      <c r="E205" s="3">
        <v>1</v>
      </c>
      <c r="F205" s="3">
        <f t="shared" si="16"/>
        <v>165</v>
      </c>
      <c r="G205" s="3">
        <v>165</v>
      </c>
      <c r="H205" s="16">
        <v>0</v>
      </c>
      <c r="I205" s="21">
        <f>H205/-301*111</f>
        <v>0</v>
      </c>
    </row>
    <row r="206" spans="1:9" ht="13.5">
      <c r="A206" s="1">
        <v>4</v>
      </c>
      <c r="B206" s="2" t="s">
        <v>203</v>
      </c>
      <c r="C206" s="3">
        <v>158</v>
      </c>
      <c r="D206" s="3">
        <v>2</v>
      </c>
      <c r="E206" s="3"/>
      <c r="F206" s="3">
        <f t="shared" si="16"/>
        <v>156</v>
      </c>
      <c r="G206" s="3">
        <v>168</v>
      </c>
      <c r="H206" s="16">
        <f aca="true" t="shared" si="17" ref="H206:H262">F206-G206</f>
        <v>-12</v>
      </c>
      <c r="I206" s="21">
        <f>H206/-301*29</f>
        <v>1.1561461794019934</v>
      </c>
    </row>
    <row r="207" spans="1:9" ht="13.5">
      <c r="A207" s="1">
        <v>5</v>
      </c>
      <c r="B207" s="2" t="s">
        <v>204</v>
      </c>
      <c r="C207" s="3">
        <v>147</v>
      </c>
      <c r="D207" s="3"/>
      <c r="E207" s="3"/>
      <c r="F207" s="3">
        <f t="shared" si="16"/>
        <v>147</v>
      </c>
      <c r="G207" s="3">
        <v>147</v>
      </c>
      <c r="H207" s="16">
        <v>0</v>
      </c>
      <c r="I207" s="21">
        <f aca="true" t="shared" si="18" ref="I207:I240">H207/-301*29</f>
        <v>0</v>
      </c>
    </row>
    <row r="208" spans="1:9" ht="13.5">
      <c r="A208" s="1">
        <v>6</v>
      </c>
      <c r="B208" s="2" t="s">
        <v>205</v>
      </c>
      <c r="C208" s="3">
        <v>156</v>
      </c>
      <c r="D208" s="3"/>
      <c r="E208" s="3"/>
      <c r="F208" s="3">
        <f t="shared" si="16"/>
        <v>156</v>
      </c>
      <c r="G208" s="3">
        <v>156</v>
      </c>
      <c r="H208" s="16">
        <f t="shared" si="17"/>
        <v>0</v>
      </c>
      <c r="I208" s="21">
        <f t="shared" si="18"/>
        <v>0</v>
      </c>
    </row>
    <row r="209" spans="1:9" ht="13.5">
      <c r="A209" s="1">
        <v>7</v>
      </c>
      <c r="B209" s="2" t="s">
        <v>206</v>
      </c>
      <c r="C209" s="3">
        <v>188</v>
      </c>
      <c r="D209" s="3">
        <v>3</v>
      </c>
      <c r="E209" s="3"/>
      <c r="F209" s="3">
        <f t="shared" si="16"/>
        <v>185</v>
      </c>
      <c r="G209" s="3">
        <v>185</v>
      </c>
      <c r="H209" s="16">
        <f t="shared" si="17"/>
        <v>0</v>
      </c>
      <c r="I209" s="21">
        <f t="shared" si="18"/>
        <v>0</v>
      </c>
    </row>
    <row r="210" spans="1:9" ht="13.5">
      <c r="A210" s="1">
        <v>8</v>
      </c>
      <c r="B210" s="2" t="s">
        <v>207</v>
      </c>
      <c r="C210" s="3">
        <v>104</v>
      </c>
      <c r="D210" s="3"/>
      <c r="E210" s="3"/>
      <c r="F210" s="3">
        <f t="shared" si="16"/>
        <v>104</v>
      </c>
      <c r="G210" s="3">
        <v>114</v>
      </c>
      <c r="H210" s="16">
        <f t="shared" si="17"/>
        <v>-10</v>
      </c>
      <c r="I210" s="21">
        <f t="shared" si="18"/>
        <v>0.9634551495016612</v>
      </c>
    </row>
    <row r="211" spans="1:9" ht="13.5">
      <c r="A211" s="1">
        <v>9</v>
      </c>
      <c r="B211" s="2" t="s">
        <v>208</v>
      </c>
      <c r="C211" s="3">
        <v>80</v>
      </c>
      <c r="D211" s="3"/>
      <c r="E211" s="3"/>
      <c r="F211" s="3">
        <f t="shared" si="16"/>
        <v>80</v>
      </c>
      <c r="G211" s="3">
        <v>99</v>
      </c>
      <c r="H211" s="16">
        <f t="shared" si="17"/>
        <v>-19</v>
      </c>
      <c r="I211" s="21">
        <f t="shared" si="18"/>
        <v>1.830564784053156</v>
      </c>
    </row>
    <row r="212" spans="1:9" ht="13.5">
      <c r="A212" s="1">
        <v>10</v>
      </c>
      <c r="B212" s="2" t="s">
        <v>209</v>
      </c>
      <c r="C212" s="3">
        <v>267</v>
      </c>
      <c r="D212" s="3"/>
      <c r="E212" s="3"/>
      <c r="F212" s="3">
        <f t="shared" si="16"/>
        <v>267</v>
      </c>
      <c r="G212" s="3">
        <v>279</v>
      </c>
      <c r="H212" s="16">
        <f t="shared" si="17"/>
        <v>-12</v>
      </c>
      <c r="I212" s="21">
        <f t="shared" si="18"/>
        <v>1.1561461794019934</v>
      </c>
    </row>
    <row r="213" spans="1:9" ht="13.5">
      <c r="A213" s="1">
        <v>11</v>
      </c>
      <c r="B213" s="2" t="s">
        <v>210</v>
      </c>
      <c r="C213" s="3">
        <v>72</v>
      </c>
      <c r="D213" s="3"/>
      <c r="E213" s="3"/>
      <c r="F213" s="3">
        <f t="shared" si="16"/>
        <v>72</v>
      </c>
      <c r="G213" s="3">
        <v>95</v>
      </c>
      <c r="H213" s="16">
        <f t="shared" si="17"/>
        <v>-23</v>
      </c>
      <c r="I213" s="21">
        <f t="shared" si="18"/>
        <v>2.215946843853821</v>
      </c>
    </row>
    <row r="214" spans="1:9" ht="13.5">
      <c r="A214" s="1">
        <v>12</v>
      </c>
      <c r="B214" s="2" t="s">
        <v>211</v>
      </c>
      <c r="C214" s="3">
        <v>32</v>
      </c>
      <c r="D214" s="3"/>
      <c r="E214" s="3"/>
      <c r="F214" s="3">
        <f t="shared" si="16"/>
        <v>32</v>
      </c>
      <c r="G214" s="3">
        <v>32</v>
      </c>
      <c r="H214" s="16">
        <f t="shared" si="17"/>
        <v>0</v>
      </c>
      <c r="I214" s="21">
        <f t="shared" si="18"/>
        <v>0</v>
      </c>
    </row>
    <row r="215" spans="1:9" ht="13.5">
      <c r="A215" s="1">
        <v>13</v>
      </c>
      <c r="B215" s="2" t="s">
        <v>212</v>
      </c>
      <c r="C215" s="3">
        <v>51</v>
      </c>
      <c r="D215" s="3"/>
      <c r="E215" s="3"/>
      <c r="F215" s="3">
        <f t="shared" si="16"/>
        <v>51</v>
      </c>
      <c r="G215" s="3">
        <v>61</v>
      </c>
      <c r="H215" s="16">
        <f t="shared" si="17"/>
        <v>-10</v>
      </c>
      <c r="I215" s="21">
        <f t="shared" si="18"/>
        <v>0.9634551495016612</v>
      </c>
    </row>
    <row r="216" spans="1:9" ht="13.5">
      <c r="A216" s="1">
        <v>14</v>
      </c>
      <c r="B216" s="2" t="s">
        <v>213</v>
      </c>
      <c r="C216" s="3">
        <v>44</v>
      </c>
      <c r="D216" s="3"/>
      <c r="E216" s="3"/>
      <c r="F216" s="3">
        <f t="shared" si="16"/>
        <v>44</v>
      </c>
      <c r="G216" s="3">
        <v>69</v>
      </c>
      <c r="H216" s="16">
        <f t="shared" si="17"/>
        <v>-25</v>
      </c>
      <c r="I216" s="21">
        <f t="shared" si="18"/>
        <v>2.4086378737541527</v>
      </c>
    </row>
    <row r="217" spans="1:9" ht="13.5">
      <c r="A217" s="1">
        <v>15</v>
      </c>
      <c r="B217" s="2" t="s">
        <v>214</v>
      </c>
      <c r="C217" s="3">
        <v>235</v>
      </c>
      <c r="D217" s="3"/>
      <c r="E217" s="3">
        <v>1</v>
      </c>
      <c r="F217" s="3">
        <f t="shared" si="16"/>
        <v>234</v>
      </c>
      <c r="G217" s="3">
        <v>234</v>
      </c>
      <c r="H217" s="16">
        <f t="shared" si="17"/>
        <v>0</v>
      </c>
      <c r="I217" s="21">
        <f t="shared" si="18"/>
        <v>0</v>
      </c>
    </row>
    <row r="218" spans="1:9" ht="13.5">
      <c r="A218" s="1">
        <v>16</v>
      </c>
      <c r="B218" s="2" t="s">
        <v>215</v>
      </c>
      <c r="C218" s="3">
        <v>127</v>
      </c>
      <c r="D218" s="3"/>
      <c r="E218" s="3"/>
      <c r="F218" s="3">
        <f t="shared" si="16"/>
        <v>127</v>
      </c>
      <c r="G218" s="3">
        <v>140</v>
      </c>
      <c r="H218" s="16">
        <f t="shared" si="17"/>
        <v>-13</v>
      </c>
      <c r="I218" s="21">
        <f t="shared" si="18"/>
        <v>1.2524916943521593</v>
      </c>
    </row>
    <row r="219" spans="1:9" ht="13.5">
      <c r="A219" s="1">
        <v>17</v>
      </c>
      <c r="B219" s="2" t="s">
        <v>216</v>
      </c>
      <c r="C219" s="3">
        <v>124</v>
      </c>
      <c r="D219" s="3"/>
      <c r="E219" s="3"/>
      <c r="F219" s="3">
        <f t="shared" si="16"/>
        <v>124</v>
      </c>
      <c r="G219" s="3">
        <v>124</v>
      </c>
      <c r="H219" s="16">
        <v>0</v>
      </c>
      <c r="I219" s="21">
        <f t="shared" si="18"/>
        <v>0</v>
      </c>
    </row>
    <row r="220" spans="1:9" ht="13.5">
      <c r="A220" s="1">
        <v>18</v>
      </c>
      <c r="B220" s="2" t="s">
        <v>217</v>
      </c>
      <c r="C220" s="3">
        <v>118</v>
      </c>
      <c r="D220" s="3"/>
      <c r="E220" s="3"/>
      <c r="F220" s="3">
        <f t="shared" si="16"/>
        <v>118</v>
      </c>
      <c r="G220" s="3">
        <v>118</v>
      </c>
      <c r="H220" s="16">
        <v>0</v>
      </c>
      <c r="I220" s="21">
        <f t="shared" si="18"/>
        <v>0</v>
      </c>
    </row>
    <row r="221" spans="1:9" ht="13.5">
      <c r="A221" s="1">
        <v>19</v>
      </c>
      <c r="B221" s="2" t="s">
        <v>218</v>
      </c>
      <c r="C221" s="3">
        <v>105</v>
      </c>
      <c r="D221" s="3"/>
      <c r="E221" s="3"/>
      <c r="F221" s="3">
        <f t="shared" si="16"/>
        <v>105</v>
      </c>
      <c r="G221" s="3">
        <v>206</v>
      </c>
      <c r="H221" s="16">
        <f t="shared" si="17"/>
        <v>-101</v>
      </c>
      <c r="I221" s="21">
        <f t="shared" si="18"/>
        <v>9.730897009966776</v>
      </c>
    </row>
    <row r="222" spans="1:9" ht="13.5">
      <c r="A222" s="1">
        <v>20</v>
      </c>
      <c r="B222" s="2" t="s">
        <v>219</v>
      </c>
      <c r="C222" s="3">
        <v>91</v>
      </c>
      <c r="D222" s="3">
        <v>2</v>
      </c>
      <c r="E222" s="3"/>
      <c r="F222" s="3">
        <f t="shared" si="16"/>
        <v>89</v>
      </c>
      <c r="G222" s="3">
        <v>100</v>
      </c>
      <c r="H222" s="16">
        <f t="shared" si="17"/>
        <v>-11</v>
      </c>
      <c r="I222" s="21">
        <f t="shared" si="18"/>
        <v>1.0598006644518274</v>
      </c>
    </row>
    <row r="223" spans="1:9" ht="13.5">
      <c r="A223" s="1">
        <v>21</v>
      </c>
      <c r="B223" s="2" t="s">
        <v>220</v>
      </c>
      <c r="C223" s="3">
        <v>66</v>
      </c>
      <c r="D223" s="3"/>
      <c r="E223" s="3">
        <v>1</v>
      </c>
      <c r="F223" s="3">
        <f t="shared" si="16"/>
        <v>65</v>
      </c>
      <c r="G223" s="3">
        <v>92</v>
      </c>
      <c r="H223" s="16">
        <f t="shared" si="17"/>
        <v>-27</v>
      </c>
      <c r="I223" s="21">
        <f t="shared" si="18"/>
        <v>2.601328903654485</v>
      </c>
    </row>
    <row r="224" spans="1:9" ht="13.5">
      <c r="A224" s="1">
        <v>22</v>
      </c>
      <c r="B224" s="2" t="s">
        <v>221</v>
      </c>
      <c r="C224" s="3">
        <v>54</v>
      </c>
      <c r="D224" s="3"/>
      <c r="E224" s="3"/>
      <c r="F224" s="3">
        <f t="shared" si="16"/>
        <v>54</v>
      </c>
      <c r="G224" s="3">
        <v>54</v>
      </c>
      <c r="H224" s="16">
        <v>0</v>
      </c>
      <c r="I224" s="21">
        <f t="shared" si="18"/>
        <v>0</v>
      </c>
    </row>
    <row r="225" spans="1:9" ht="13.5">
      <c r="A225" s="1">
        <v>23</v>
      </c>
      <c r="B225" s="2" t="s">
        <v>222</v>
      </c>
      <c r="C225" s="3">
        <v>27</v>
      </c>
      <c r="D225" s="3"/>
      <c r="E225" s="3"/>
      <c r="F225" s="3">
        <f t="shared" si="16"/>
        <v>27</v>
      </c>
      <c r="G225" s="3">
        <v>42</v>
      </c>
      <c r="H225" s="16">
        <f t="shared" si="17"/>
        <v>-15</v>
      </c>
      <c r="I225" s="21">
        <f t="shared" si="18"/>
        <v>1.4451827242524917</v>
      </c>
    </row>
    <row r="226" spans="1:9" ht="13.5">
      <c r="A226" s="1">
        <v>24</v>
      </c>
      <c r="B226" s="2" t="s">
        <v>223</v>
      </c>
      <c r="C226" s="3">
        <v>83</v>
      </c>
      <c r="D226" s="3"/>
      <c r="E226" s="3"/>
      <c r="F226" s="3">
        <f t="shared" si="16"/>
        <v>83</v>
      </c>
      <c r="G226" s="3">
        <v>91</v>
      </c>
      <c r="H226" s="16">
        <f t="shared" si="17"/>
        <v>-8</v>
      </c>
      <c r="I226" s="21">
        <f t="shared" si="18"/>
        <v>0.770764119601329</v>
      </c>
    </row>
    <row r="227" spans="1:9" ht="13.5">
      <c r="A227" s="1">
        <v>25</v>
      </c>
      <c r="B227" s="2" t="s">
        <v>224</v>
      </c>
      <c r="C227" s="3">
        <v>113</v>
      </c>
      <c r="D227" s="3"/>
      <c r="E227" s="3">
        <v>1</v>
      </c>
      <c r="F227" s="3">
        <f t="shared" si="16"/>
        <v>112</v>
      </c>
      <c r="G227" s="3">
        <v>112</v>
      </c>
      <c r="H227" s="16">
        <f t="shared" si="17"/>
        <v>0</v>
      </c>
      <c r="I227" s="21">
        <f t="shared" si="18"/>
        <v>0</v>
      </c>
    </row>
    <row r="228" spans="1:9" ht="13.5">
      <c r="A228" s="1">
        <v>26</v>
      </c>
      <c r="B228" s="2" t="s">
        <v>225</v>
      </c>
      <c r="C228" s="3">
        <v>30</v>
      </c>
      <c r="D228" s="3"/>
      <c r="E228" s="3"/>
      <c r="F228" s="3">
        <f t="shared" si="16"/>
        <v>30</v>
      </c>
      <c r="G228" s="3">
        <v>30</v>
      </c>
      <c r="H228" s="16">
        <f t="shared" si="17"/>
        <v>0</v>
      </c>
      <c r="I228" s="21">
        <f t="shared" si="18"/>
        <v>0</v>
      </c>
    </row>
    <row r="229" spans="1:9" ht="13.5">
      <c r="A229" s="1">
        <v>27</v>
      </c>
      <c r="B229" s="2" t="s">
        <v>226</v>
      </c>
      <c r="C229" s="3">
        <v>68</v>
      </c>
      <c r="D229" s="3"/>
      <c r="E229" s="3">
        <v>1</v>
      </c>
      <c r="F229" s="3">
        <f t="shared" si="16"/>
        <v>67</v>
      </c>
      <c r="G229" s="3">
        <v>67</v>
      </c>
      <c r="H229" s="16">
        <f t="shared" si="17"/>
        <v>0</v>
      </c>
      <c r="I229" s="21">
        <f t="shared" si="18"/>
        <v>0</v>
      </c>
    </row>
    <row r="230" spans="1:9" ht="13.5">
      <c r="A230" s="1">
        <v>28</v>
      </c>
      <c r="B230" s="2" t="s">
        <v>227</v>
      </c>
      <c r="C230" s="3">
        <v>133</v>
      </c>
      <c r="D230" s="3"/>
      <c r="E230" s="3"/>
      <c r="F230" s="3">
        <f t="shared" si="16"/>
        <v>133</v>
      </c>
      <c r="G230" s="3">
        <v>146</v>
      </c>
      <c r="H230" s="16">
        <f t="shared" si="17"/>
        <v>-13</v>
      </c>
      <c r="I230" s="21">
        <f t="shared" si="18"/>
        <v>1.2524916943521593</v>
      </c>
    </row>
    <row r="231" spans="1:9" ht="13.5">
      <c r="A231" s="1">
        <v>29</v>
      </c>
      <c r="B231" s="2" t="s">
        <v>228</v>
      </c>
      <c r="C231" s="3">
        <v>41</v>
      </c>
      <c r="D231" s="3"/>
      <c r="E231" s="3"/>
      <c r="F231" s="3">
        <f t="shared" si="16"/>
        <v>41</v>
      </c>
      <c r="G231" s="3">
        <v>41</v>
      </c>
      <c r="H231" s="16">
        <v>0</v>
      </c>
      <c r="I231" s="21">
        <f t="shared" si="18"/>
        <v>0</v>
      </c>
    </row>
    <row r="232" spans="1:9" ht="13.5">
      <c r="A232" s="1">
        <v>30</v>
      </c>
      <c r="B232" s="2" t="s">
        <v>229</v>
      </c>
      <c r="C232" s="3">
        <v>108</v>
      </c>
      <c r="D232" s="3">
        <v>1</v>
      </c>
      <c r="E232" s="3">
        <v>1</v>
      </c>
      <c r="F232" s="3">
        <f t="shared" si="16"/>
        <v>106</v>
      </c>
      <c r="G232" s="3">
        <v>106</v>
      </c>
      <c r="H232" s="16">
        <f t="shared" si="17"/>
        <v>0</v>
      </c>
      <c r="I232" s="21">
        <f t="shared" si="18"/>
        <v>0</v>
      </c>
    </row>
    <row r="233" spans="1:9" ht="13.5">
      <c r="A233" s="1">
        <v>31</v>
      </c>
      <c r="B233" s="2" t="s">
        <v>230</v>
      </c>
      <c r="C233" s="3">
        <v>82</v>
      </c>
      <c r="D233" s="3"/>
      <c r="E233" s="3"/>
      <c r="F233" s="3">
        <f t="shared" si="16"/>
        <v>82</v>
      </c>
      <c r="G233" s="3">
        <v>82</v>
      </c>
      <c r="H233" s="16">
        <f t="shared" si="17"/>
        <v>0</v>
      </c>
      <c r="I233" s="21">
        <f t="shared" si="18"/>
        <v>0</v>
      </c>
    </row>
    <row r="234" spans="1:9" ht="13.5">
      <c r="A234" s="1">
        <v>32</v>
      </c>
      <c r="B234" s="2" t="s">
        <v>231</v>
      </c>
      <c r="C234" s="3">
        <v>113</v>
      </c>
      <c r="D234" s="3"/>
      <c r="E234" s="3">
        <v>2</v>
      </c>
      <c r="F234" s="3">
        <f t="shared" si="16"/>
        <v>111</v>
      </c>
      <c r="G234" s="3">
        <v>111</v>
      </c>
      <c r="H234" s="16">
        <v>0</v>
      </c>
      <c r="I234" s="21">
        <f t="shared" si="18"/>
        <v>0</v>
      </c>
    </row>
    <row r="235" spans="1:9" ht="13.5">
      <c r="A235" s="1">
        <v>33</v>
      </c>
      <c r="B235" s="2" t="s">
        <v>232</v>
      </c>
      <c r="C235" s="3">
        <v>46</v>
      </c>
      <c r="D235" s="3"/>
      <c r="E235" s="3"/>
      <c r="F235" s="3">
        <f t="shared" si="16"/>
        <v>46</v>
      </c>
      <c r="G235" s="3">
        <v>48</v>
      </c>
      <c r="H235" s="16">
        <f t="shared" si="17"/>
        <v>-2</v>
      </c>
      <c r="I235" s="21">
        <f t="shared" si="18"/>
        <v>0.19269102990033224</v>
      </c>
    </row>
    <row r="236" spans="1:9" ht="13.5">
      <c r="A236" s="1">
        <v>34</v>
      </c>
      <c r="B236" s="2" t="s">
        <v>233</v>
      </c>
      <c r="C236" s="3">
        <v>37</v>
      </c>
      <c r="D236" s="3"/>
      <c r="E236" s="3"/>
      <c r="F236" s="3">
        <f t="shared" si="16"/>
        <v>37</v>
      </c>
      <c r="G236" s="3">
        <v>37</v>
      </c>
      <c r="H236" s="16">
        <v>0</v>
      </c>
      <c r="I236" s="21">
        <f t="shared" si="18"/>
        <v>0</v>
      </c>
    </row>
    <row r="237" spans="1:9" ht="13.5">
      <c r="A237" s="1">
        <v>35</v>
      </c>
      <c r="B237" s="2" t="s">
        <v>234</v>
      </c>
      <c r="C237" s="3">
        <v>47</v>
      </c>
      <c r="D237" s="3"/>
      <c r="E237" s="3"/>
      <c r="F237" s="3">
        <f t="shared" si="16"/>
        <v>47</v>
      </c>
      <c r="G237" s="3">
        <v>47</v>
      </c>
      <c r="H237" s="16">
        <v>0</v>
      </c>
      <c r="I237" s="21">
        <f t="shared" si="18"/>
        <v>0</v>
      </c>
    </row>
    <row r="238" spans="1:9" ht="13.5">
      <c r="A238" s="1">
        <v>36</v>
      </c>
      <c r="B238" s="2" t="s">
        <v>235</v>
      </c>
      <c r="C238" s="3">
        <v>69</v>
      </c>
      <c r="D238" s="3"/>
      <c r="E238" s="3"/>
      <c r="F238" s="3">
        <f t="shared" si="16"/>
        <v>69</v>
      </c>
      <c r="G238" s="3">
        <v>69</v>
      </c>
      <c r="H238" s="16">
        <f t="shared" si="17"/>
        <v>0</v>
      </c>
      <c r="I238" s="21">
        <f t="shared" si="18"/>
        <v>0</v>
      </c>
    </row>
    <row r="239" spans="1:9" ht="13.5">
      <c r="A239" s="1">
        <v>37</v>
      </c>
      <c r="B239" s="2" t="s">
        <v>236</v>
      </c>
      <c r="C239" s="3">
        <v>561</v>
      </c>
      <c r="D239" s="3">
        <v>1</v>
      </c>
      <c r="E239" s="3">
        <v>7</v>
      </c>
      <c r="F239" s="3">
        <f t="shared" si="16"/>
        <v>553</v>
      </c>
      <c r="G239" s="3">
        <v>553</v>
      </c>
      <c r="H239" s="16">
        <v>0</v>
      </c>
      <c r="I239" s="21">
        <f t="shared" si="18"/>
        <v>0</v>
      </c>
    </row>
    <row r="240" spans="1:9" ht="13.5">
      <c r="A240" s="1">
        <v>38</v>
      </c>
      <c r="B240" s="2" t="s">
        <v>237</v>
      </c>
      <c r="C240" s="3">
        <v>26</v>
      </c>
      <c r="D240" s="3"/>
      <c r="E240" s="3"/>
      <c r="F240" s="3">
        <f t="shared" si="16"/>
        <v>26</v>
      </c>
      <c r="G240" s="3">
        <v>26</v>
      </c>
      <c r="H240" s="16">
        <f t="shared" si="17"/>
        <v>0</v>
      </c>
      <c r="I240" s="21">
        <f t="shared" si="18"/>
        <v>0</v>
      </c>
    </row>
    <row r="241" spans="1:9" ht="13.5">
      <c r="A241" s="14" t="s">
        <v>463</v>
      </c>
      <c r="B241" s="15" t="s">
        <v>238</v>
      </c>
      <c r="C241" s="16">
        <f>SUM(C242:C247)</f>
        <v>234</v>
      </c>
      <c r="D241" s="16">
        <f>SUM(D242:D247)</f>
        <v>1</v>
      </c>
      <c r="E241" s="16">
        <f>SUM(E242:E247)</f>
        <v>0</v>
      </c>
      <c r="F241" s="16">
        <f t="shared" si="16"/>
        <v>233</v>
      </c>
      <c r="G241" s="16">
        <f>SUM(G242:G247)</f>
        <v>241</v>
      </c>
      <c r="H241" s="16">
        <f>SUM(H242:H247)</f>
        <v>-8</v>
      </c>
      <c r="I241" s="23">
        <f>H241/1484*-141</f>
        <v>0.7601078167115903</v>
      </c>
    </row>
    <row r="242" spans="1:9" ht="13.5">
      <c r="A242" s="1">
        <v>1</v>
      </c>
      <c r="B242" s="2" t="s">
        <v>239</v>
      </c>
      <c r="C242" s="3">
        <v>13</v>
      </c>
      <c r="D242" s="3"/>
      <c r="E242" s="3"/>
      <c r="F242" s="3">
        <f t="shared" si="16"/>
        <v>13</v>
      </c>
      <c r="G242" s="3">
        <v>13</v>
      </c>
      <c r="H242" s="16">
        <v>0</v>
      </c>
      <c r="I242" s="21">
        <v>0</v>
      </c>
    </row>
    <row r="243" spans="1:9" ht="13.5">
      <c r="A243" s="1">
        <v>2</v>
      </c>
      <c r="B243" s="2" t="s">
        <v>240</v>
      </c>
      <c r="C243" s="3">
        <v>12</v>
      </c>
      <c r="D243" s="3"/>
      <c r="E243" s="3"/>
      <c r="F243" s="3">
        <f t="shared" si="16"/>
        <v>12</v>
      </c>
      <c r="G243" s="3">
        <v>12</v>
      </c>
      <c r="H243" s="16">
        <f t="shared" si="17"/>
        <v>0</v>
      </c>
      <c r="I243" s="21">
        <v>0</v>
      </c>
    </row>
    <row r="244" spans="1:9" ht="13.5">
      <c r="A244" s="1">
        <v>3</v>
      </c>
      <c r="B244" s="2" t="s">
        <v>241</v>
      </c>
      <c r="C244" s="3">
        <v>76</v>
      </c>
      <c r="D244" s="3">
        <v>1</v>
      </c>
      <c r="E244" s="3"/>
      <c r="F244" s="3">
        <f t="shared" si="16"/>
        <v>75</v>
      </c>
      <c r="G244" s="3">
        <v>75</v>
      </c>
      <c r="H244" s="16">
        <f t="shared" si="17"/>
        <v>0</v>
      </c>
      <c r="I244" s="21">
        <v>0</v>
      </c>
    </row>
    <row r="245" spans="1:9" ht="13.5">
      <c r="A245" s="1">
        <v>4</v>
      </c>
      <c r="B245" s="2" t="s">
        <v>242</v>
      </c>
      <c r="C245" s="3">
        <v>61</v>
      </c>
      <c r="D245" s="3"/>
      <c r="E245" s="3"/>
      <c r="F245" s="3">
        <f t="shared" si="16"/>
        <v>61</v>
      </c>
      <c r="G245" s="3">
        <v>61</v>
      </c>
      <c r="H245" s="16">
        <f t="shared" si="17"/>
        <v>0</v>
      </c>
      <c r="I245" s="21">
        <v>0</v>
      </c>
    </row>
    <row r="246" spans="1:9" ht="13.5">
      <c r="A246" s="1">
        <v>5</v>
      </c>
      <c r="B246" s="2" t="s">
        <v>243</v>
      </c>
      <c r="C246" s="3">
        <v>53</v>
      </c>
      <c r="D246" s="3"/>
      <c r="E246" s="3"/>
      <c r="F246" s="3">
        <f t="shared" si="16"/>
        <v>53</v>
      </c>
      <c r="G246" s="3">
        <v>53</v>
      </c>
      <c r="H246" s="16">
        <f t="shared" si="17"/>
        <v>0</v>
      </c>
      <c r="I246" s="21">
        <v>0</v>
      </c>
    </row>
    <row r="247" spans="1:9" ht="13.5">
      <c r="A247" s="1">
        <v>6</v>
      </c>
      <c r="B247" s="2" t="s">
        <v>244</v>
      </c>
      <c r="C247" s="3">
        <v>19</v>
      </c>
      <c r="D247" s="3"/>
      <c r="E247" s="3"/>
      <c r="F247" s="3">
        <f t="shared" si="16"/>
        <v>19</v>
      </c>
      <c r="G247" s="3">
        <v>27</v>
      </c>
      <c r="H247" s="16">
        <f t="shared" si="17"/>
        <v>-8</v>
      </c>
      <c r="I247" s="21">
        <v>1</v>
      </c>
    </row>
    <row r="248" spans="1:9" ht="13.5">
      <c r="A248" s="14" t="s">
        <v>464</v>
      </c>
      <c r="B248" s="15" t="s">
        <v>245</v>
      </c>
      <c r="C248" s="16">
        <f>SUM(C249:C257)</f>
        <v>881</v>
      </c>
      <c r="D248" s="16">
        <f>SUM(D249:D257)</f>
        <v>0</v>
      </c>
      <c r="E248" s="16">
        <f>SUM(E249:E257)</f>
        <v>1</v>
      </c>
      <c r="F248" s="16">
        <f t="shared" si="16"/>
        <v>880</v>
      </c>
      <c r="G248" s="16">
        <f>SUM(G249:G257)</f>
        <v>885</v>
      </c>
      <c r="H248" s="16">
        <f>SUM(H249:H257)</f>
        <v>-5</v>
      </c>
      <c r="I248" s="23">
        <f>H248/1484*-141</f>
        <v>0.475067385444744</v>
      </c>
    </row>
    <row r="249" spans="1:9" ht="13.5">
      <c r="A249" s="1">
        <v>1</v>
      </c>
      <c r="B249" s="2" t="s">
        <v>246</v>
      </c>
      <c r="C249" s="3">
        <v>109</v>
      </c>
      <c r="D249" s="3"/>
      <c r="E249" s="3"/>
      <c r="F249" s="3">
        <f t="shared" si="16"/>
        <v>109</v>
      </c>
      <c r="G249" s="3">
        <v>109</v>
      </c>
      <c r="H249" s="16">
        <v>0</v>
      </c>
      <c r="I249" s="21">
        <v>0</v>
      </c>
    </row>
    <row r="250" spans="1:9" ht="13.5">
      <c r="A250" s="1">
        <v>2</v>
      </c>
      <c r="B250" s="2" t="s">
        <v>247</v>
      </c>
      <c r="C250" s="3">
        <v>159</v>
      </c>
      <c r="D250" s="3"/>
      <c r="E250" s="3">
        <v>1</v>
      </c>
      <c r="F250" s="3">
        <f t="shared" si="16"/>
        <v>158</v>
      </c>
      <c r="G250" s="3">
        <v>158</v>
      </c>
      <c r="H250" s="16">
        <v>0</v>
      </c>
      <c r="I250" s="21">
        <v>0</v>
      </c>
    </row>
    <row r="251" spans="1:9" ht="13.5">
      <c r="A251" s="1">
        <v>3</v>
      </c>
      <c r="B251" s="2" t="s">
        <v>248</v>
      </c>
      <c r="C251" s="3">
        <v>123</v>
      </c>
      <c r="D251" s="3"/>
      <c r="E251" s="3"/>
      <c r="F251" s="3">
        <f t="shared" si="16"/>
        <v>123</v>
      </c>
      <c r="G251" s="3">
        <v>123</v>
      </c>
      <c r="H251" s="16">
        <v>0</v>
      </c>
      <c r="I251" s="21">
        <v>0</v>
      </c>
    </row>
    <row r="252" spans="1:9" ht="13.5">
      <c r="A252" s="1">
        <v>4</v>
      </c>
      <c r="B252" s="2" t="s">
        <v>249</v>
      </c>
      <c r="C252" s="3">
        <v>86</v>
      </c>
      <c r="D252" s="3"/>
      <c r="E252" s="3"/>
      <c r="F252" s="3">
        <f t="shared" si="16"/>
        <v>86</v>
      </c>
      <c r="G252" s="3">
        <v>86</v>
      </c>
      <c r="H252" s="16">
        <v>0</v>
      </c>
      <c r="I252" s="21">
        <v>0</v>
      </c>
    </row>
    <row r="253" spans="1:9" ht="13.5">
      <c r="A253" s="1">
        <v>5</v>
      </c>
      <c r="B253" s="2" t="s">
        <v>250</v>
      </c>
      <c r="C253" s="3">
        <v>62</v>
      </c>
      <c r="D253" s="3"/>
      <c r="E253" s="3"/>
      <c r="F253" s="3">
        <f t="shared" si="16"/>
        <v>62</v>
      </c>
      <c r="G253" s="3">
        <v>62</v>
      </c>
      <c r="H253" s="16">
        <f t="shared" si="17"/>
        <v>0</v>
      </c>
      <c r="I253" s="21">
        <v>0</v>
      </c>
    </row>
    <row r="254" spans="1:9" ht="13.5">
      <c r="A254" s="1">
        <v>6</v>
      </c>
      <c r="B254" s="2" t="s">
        <v>251</v>
      </c>
      <c r="C254" s="3">
        <v>20</v>
      </c>
      <c r="D254" s="3"/>
      <c r="E254" s="3"/>
      <c r="F254" s="3">
        <f t="shared" si="16"/>
        <v>20</v>
      </c>
      <c r="G254" s="3">
        <v>22</v>
      </c>
      <c r="H254" s="16">
        <f t="shared" si="17"/>
        <v>-2</v>
      </c>
      <c r="I254" s="21">
        <v>0</v>
      </c>
    </row>
    <row r="255" spans="1:9" ht="13.5">
      <c r="A255" s="1">
        <v>7</v>
      </c>
      <c r="B255" s="2" t="s">
        <v>252</v>
      </c>
      <c r="C255" s="3">
        <v>37</v>
      </c>
      <c r="D255" s="3"/>
      <c r="E255" s="3"/>
      <c r="F255" s="3">
        <f t="shared" si="16"/>
        <v>37</v>
      </c>
      <c r="G255" s="3">
        <v>40</v>
      </c>
      <c r="H255" s="16">
        <f t="shared" si="17"/>
        <v>-3</v>
      </c>
      <c r="I255" s="21">
        <v>0</v>
      </c>
    </row>
    <row r="256" spans="1:9" ht="13.5">
      <c r="A256" s="1">
        <v>8</v>
      </c>
      <c r="B256" s="2" t="s">
        <v>253</v>
      </c>
      <c r="C256" s="3">
        <v>96</v>
      </c>
      <c r="D256" s="3"/>
      <c r="E256" s="3"/>
      <c r="F256" s="3">
        <f t="shared" si="16"/>
        <v>96</v>
      </c>
      <c r="G256" s="3">
        <v>96</v>
      </c>
      <c r="H256" s="16">
        <v>0</v>
      </c>
      <c r="I256" s="21">
        <v>0</v>
      </c>
    </row>
    <row r="257" spans="1:9" ht="13.5">
      <c r="A257" s="1">
        <v>9</v>
      </c>
      <c r="B257" s="2" t="s">
        <v>254</v>
      </c>
      <c r="C257" s="3">
        <v>189</v>
      </c>
      <c r="D257" s="3"/>
      <c r="E257" s="3"/>
      <c r="F257" s="3">
        <f t="shared" si="16"/>
        <v>189</v>
      </c>
      <c r="G257" s="3">
        <v>189</v>
      </c>
      <c r="H257" s="16">
        <v>0</v>
      </c>
      <c r="I257" s="21">
        <v>0</v>
      </c>
    </row>
    <row r="258" spans="1:9" ht="13.5">
      <c r="A258" s="14" t="s">
        <v>465</v>
      </c>
      <c r="B258" s="15" t="s">
        <v>255</v>
      </c>
      <c r="C258" s="16">
        <f>SUM(C259:C266)</f>
        <v>751</v>
      </c>
      <c r="D258" s="16">
        <f>SUM(D259:D266)</f>
        <v>0</v>
      </c>
      <c r="E258" s="16">
        <f>SUM(E259:E266)</f>
        <v>1</v>
      </c>
      <c r="F258" s="16">
        <f t="shared" si="16"/>
        <v>750</v>
      </c>
      <c r="G258" s="16">
        <f>SUM(G259:G266)</f>
        <v>804</v>
      </c>
      <c r="H258" s="16">
        <f>SUM(H259:H266)</f>
        <v>-54</v>
      </c>
      <c r="I258" s="23">
        <f>H258/1484*-141</f>
        <v>5.130727762803235</v>
      </c>
    </row>
    <row r="259" spans="1:9" ht="13.5">
      <c r="A259" s="1">
        <v>1</v>
      </c>
      <c r="B259" s="2" t="s">
        <v>256</v>
      </c>
      <c r="C259" s="3">
        <v>44</v>
      </c>
      <c r="D259" s="3"/>
      <c r="E259" s="3"/>
      <c r="F259" s="3">
        <f t="shared" si="16"/>
        <v>44</v>
      </c>
      <c r="G259" s="3">
        <v>66</v>
      </c>
      <c r="H259" s="16">
        <f t="shared" si="17"/>
        <v>-22</v>
      </c>
      <c r="I259" s="21">
        <f>H259/-54*5</f>
        <v>2.0370370370370368</v>
      </c>
    </row>
    <row r="260" spans="1:9" ht="13.5">
      <c r="A260" s="1">
        <v>2</v>
      </c>
      <c r="B260" s="2" t="s">
        <v>257</v>
      </c>
      <c r="C260" s="3">
        <v>119</v>
      </c>
      <c r="D260" s="3"/>
      <c r="E260" s="3"/>
      <c r="F260" s="3">
        <f t="shared" si="16"/>
        <v>119</v>
      </c>
      <c r="G260" s="3">
        <v>119</v>
      </c>
      <c r="H260" s="16">
        <v>0</v>
      </c>
      <c r="I260" s="21">
        <f>H260/-54*5</f>
        <v>0</v>
      </c>
    </row>
    <row r="261" spans="1:9" ht="13.5">
      <c r="A261" s="1">
        <v>3</v>
      </c>
      <c r="B261" s="2" t="s">
        <v>258</v>
      </c>
      <c r="C261" s="3">
        <v>137</v>
      </c>
      <c r="D261" s="3"/>
      <c r="E261" s="3"/>
      <c r="F261" s="3">
        <f t="shared" si="16"/>
        <v>137</v>
      </c>
      <c r="G261" s="3">
        <v>137</v>
      </c>
      <c r="H261" s="16">
        <v>0</v>
      </c>
      <c r="I261" s="21">
        <f>H261/-54*5</f>
        <v>0</v>
      </c>
    </row>
    <row r="262" spans="1:9" ht="13.5">
      <c r="A262" s="1">
        <v>4</v>
      </c>
      <c r="B262" s="2" t="s">
        <v>259</v>
      </c>
      <c r="C262" s="3">
        <v>112</v>
      </c>
      <c r="D262" s="3"/>
      <c r="E262" s="3"/>
      <c r="F262" s="3">
        <f t="shared" si="16"/>
        <v>112</v>
      </c>
      <c r="G262" s="3">
        <v>135</v>
      </c>
      <c r="H262" s="16">
        <f t="shared" si="17"/>
        <v>-23</v>
      </c>
      <c r="I262" s="21">
        <f>H262/-54*5</f>
        <v>2.1296296296296298</v>
      </c>
    </row>
    <row r="263" spans="1:9" ht="13.5">
      <c r="A263" s="1">
        <v>5</v>
      </c>
      <c r="B263" s="2" t="s">
        <v>260</v>
      </c>
      <c r="C263" s="3">
        <v>69</v>
      </c>
      <c r="D263" s="3"/>
      <c r="E263" s="3"/>
      <c r="F263" s="3">
        <f aca="true" t="shared" si="19" ref="F263:F281">C263-E263-D263</f>
        <v>69</v>
      </c>
      <c r="G263" s="3">
        <v>78</v>
      </c>
      <c r="H263" s="16">
        <f aca="true" t="shared" si="20" ref="H263:H325">F263-G263</f>
        <v>-9</v>
      </c>
      <c r="I263" s="21">
        <f>H263/-54*5</f>
        <v>0.8333333333333333</v>
      </c>
    </row>
    <row r="264" spans="1:9" ht="13.5">
      <c r="A264" s="1">
        <v>6</v>
      </c>
      <c r="B264" s="2" t="s">
        <v>261</v>
      </c>
      <c r="C264" s="3">
        <v>92</v>
      </c>
      <c r="D264" s="3"/>
      <c r="E264" s="3"/>
      <c r="F264" s="3">
        <f t="shared" si="19"/>
        <v>92</v>
      </c>
      <c r="G264" s="3">
        <v>92</v>
      </c>
      <c r="H264" s="16">
        <v>0</v>
      </c>
      <c r="I264" s="21">
        <f>H264/-54*20</f>
        <v>0</v>
      </c>
    </row>
    <row r="265" spans="1:9" ht="13.5">
      <c r="A265" s="1">
        <v>7</v>
      </c>
      <c r="B265" s="2" t="s">
        <v>262</v>
      </c>
      <c r="C265" s="3">
        <v>105</v>
      </c>
      <c r="D265" s="3"/>
      <c r="E265" s="3">
        <v>1</v>
      </c>
      <c r="F265" s="3">
        <f t="shared" si="19"/>
        <v>104</v>
      </c>
      <c r="G265" s="3">
        <v>104</v>
      </c>
      <c r="H265" s="16">
        <v>0</v>
      </c>
      <c r="I265" s="21">
        <f>H265/-54*20</f>
        <v>0</v>
      </c>
    </row>
    <row r="266" spans="1:9" ht="13.5">
      <c r="A266" s="1">
        <v>8</v>
      </c>
      <c r="B266" s="2" t="s">
        <v>263</v>
      </c>
      <c r="C266" s="3">
        <v>73</v>
      </c>
      <c r="D266" s="3"/>
      <c r="E266" s="3"/>
      <c r="F266" s="3">
        <f t="shared" si="19"/>
        <v>73</v>
      </c>
      <c r="G266" s="3">
        <v>73</v>
      </c>
      <c r="H266" s="16">
        <f t="shared" si="20"/>
        <v>0</v>
      </c>
      <c r="I266" s="21">
        <f>H266/-54*20</f>
        <v>0</v>
      </c>
    </row>
    <row r="267" spans="1:9" ht="13.5">
      <c r="A267" s="14" t="s">
        <v>466</v>
      </c>
      <c r="B267" s="15" t="s">
        <v>264</v>
      </c>
      <c r="C267" s="16">
        <f>SUM(C268:C283)</f>
        <v>636</v>
      </c>
      <c r="D267" s="16">
        <f>SUM(D268:D283)</f>
        <v>1</v>
      </c>
      <c r="E267" s="16">
        <f>SUM(E268:E283)</f>
        <v>5</v>
      </c>
      <c r="F267" s="16">
        <f t="shared" si="19"/>
        <v>630</v>
      </c>
      <c r="G267" s="16">
        <f>SUM(G268:G283)</f>
        <v>694</v>
      </c>
      <c r="H267" s="16">
        <f>SUM(H268:H283)</f>
        <v>-64</v>
      </c>
      <c r="I267" s="23">
        <f>H267/1484*-141</f>
        <v>6.080862533692723</v>
      </c>
    </row>
    <row r="268" spans="1:9" ht="13.5">
      <c r="A268" s="1">
        <v>1</v>
      </c>
      <c r="B268" s="2" t="s">
        <v>265</v>
      </c>
      <c r="C268" s="3">
        <v>40</v>
      </c>
      <c r="D268" s="3"/>
      <c r="E268" s="3"/>
      <c r="F268" s="3">
        <f t="shared" si="19"/>
        <v>40</v>
      </c>
      <c r="G268" s="3">
        <v>40</v>
      </c>
      <c r="H268" s="16">
        <f t="shared" si="20"/>
        <v>0</v>
      </c>
      <c r="I268" s="21">
        <f>H268/-64*24</f>
        <v>0</v>
      </c>
    </row>
    <row r="269" spans="1:9" ht="13.5">
      <c r="A269" s="1">
        <v>2</v>
      </c>
      <c r="B269" s="2" t="s">
        <v>266</v>
      </c>
      <c r="C269" s="3">
        <v>23</v>
      </c>
      <c r="D269" s="3"/>
      <c r="E269" s="3"/>
      <c r="F269" s="3">
        <f t="shared" si="19"/>
        <v>23</v>
      </c>
      <c r="G269" s="3">
        <v>23</v>
      </c>
      <c r="H269" s="16">
        <f t="shared" si="20"/>
        <v>0</v>
      </c>
      <c r="I269" s="21">
        <f>H269/-64*24</f>
        <v>0</v>
      </c>
    </row>
    <row r="270" spans="1:9" ht="13.5">
      <c r="A270" s="1">
        <v>3</v>
      </c>
      <c r="B270" s="2" t="s">
        <v>267</v>
      </c>
      <c r="C270" s="3">
        <v>28</v>
      </c>
      <c r="D270" s="3"/>
      <c r="E270" s="3"/>
      <c r="F270" s="3">
        <f t="shared" si="19"/>
        <v>28</v>
      </c>
      <c r="G270" s="3">
        <v>32</v>
      </c>
      <c r="H270" s="16">
        <f t="shared" si="20"/>
        <v>-4</v>
      </c>
      <c r="I270" s="21">
        <f>H270/-64*6</f>
        <v>0.375</v>
      </c>
    </row>
    <row r="271" spans="1:9" ht="13.5">
      <c r="A271" s="1">
        <v>4</v>
      </c>
      <c r="B271" s="2" t="s">
        <v>268</v>
      </c>
      <c r="C271" s="3">
        <v>33</v>
      </c>
      <c r="D271" s="3"/>
      <c r="E271" s="3"/>
      <c r="F271" s="3">
        <f t="shared" si="19"/>
        <v>33</v>
      </c>
      <c r="G271" s="3">
        <v>33</v>
      </c>
      <c r="H271" s="16">
        <v>0</v>
      </c>
      <c r="I271" s="21">
        <f aca="true" t="shared" si="21" ref="I271:I282">H271/-64*6</f>
        <v>0</v>
      </c>
    </row>
    <row r="272" spans="1:9" ht="13.5">
      <c r="A272" s="1">
        <v>5</v>
      </c>
      <c r="B272" s="2" t="s">
        <v>269</v>
      </c>
      <c r="C272" s="3">
        <v>20</v>
      </c>
      <c r="D272" s="3"/>
      <c r="E272" s="3"/>
      <c r="F272" s="3">
        <f t="shared" si="19"/>
        <v>20</v>
      </c>
      <c r="G272" s="3">
        <v>20</v>
      </c>
      <c r="H272" s="16">
        <f t="shared" si="20"/>
        <v>0</v>
      </c>
      <c r="I272" s="21">
        <f t="shared" si="21"/>
        <v>0</v>
      </c>
    </row>
    <row r="273" spans="1:9" ht="13.5">
      <c r="A273" s="1">
        <v>6</v>
      </c>
      <c r="B273" s="2" t="s">
        <v>270</v>
      </c>
      <c r="C273" s="3">
        <v>40</v>
      </c>
      <c r="D273" s="3"/>
      <c r="E273" s="3">
        <v>1</v>
      </c>
      <c r="F273" s="3">
        <f t="shared" si="19"/>
        <v>39</v>
      </c>
      <c r="G273" s="3">
        <v>39</v>
      </c>
      <c r="H273" s="16">
        <f t="shared" si="20"/>
        <v>0</v>
      </c>
      <c r="I273" s="21">
        <f t="shared" si="21"/>
        <v>0</v>
      </c>
    </row>
    <row r="274" spans="1:9" ht="13.5">
      <c r="A274" s="1">
        <v>7</v>
      </c>
      <c r="B274" s="2" t="s">
        <v>271</v>
      </c>
      <c r="C274" s="3">
        <v>36</v>
      </c>
      <c r="D274" s="3"/>
      <c r="E274" s="3"/>
      <c r="F274" s="3">
        <f t="shared" si="19"/>
        <v>36</v>
      </c>
      <c r="G274" s="3">
        <v>36</v>
      </c>
      <c r="H274" s="16">
        <v>0</v>
      </c>
      <c r="I274" s="21">
        <f t="shared" si="21"/>
        <v>0</v>
      </c>
    </row>
    <row r="275" spans="1:9" ht="13.5">
      <c r="A275" s="1">
        <v>8</v>
      </c>
      <c r="B275" s="2" t="s">
        <v>272</v>
      </c>
      <c r="C275" s="3">
        <v>45</v>
      </c>
      <c r="D275" s="3"/>
      <c r="E275" s="3"/>
      <c r="F275" s="3">
        <f t="shared" si="19"/>
        <v>45</v>
      </c>
      <c r="G275" s="3">
        <v>45</v>
      </c>
      <c r="H275" s="16">
        <v>0</v>
      </c>
      <c r="I275" s="21">
        <f t="shared" si="21"/>
        <v>0</v>
      </c>
    </row>
    <row r="276" spans="1:9" ht="13.5">
      <c r="A276" s="1">
        <v>9</v>
      </c>
      <c r="B276" s="2" t="s">
        <v>273</v>
      </c>
      <c r="C276" s="3">
        <v>51</v>
      </c>
      <c r="D276" s="3"/>
      <c r="E276" s="3"/>
      <c r="F276" s="3">
        <f t="shared" si="19"/>
        <v>51</v>
      </c>
      <c r="G276" s="3">
        <v>51</v>
      </c>
      <c r="H276" s="16">
        <f t="shared" si="20"/>
        <v>0</v>
      </c>
      <c r="I276" s="21">
        <f t="shared" si="21"/>
        <v>0</v>
      </c>
    </row>
    <row r="277" spans="1:9" ht="13.5">
      <c r="A277" s="1">
        <v>10</v>
      </c>
      <c r="B277" s="2" t="s">
        <v>274</v>
      </c>
      <c r="C277" s="3">
        <v>122</v>
      </c>
      <c r="D277" s="3">
        <v>1</v>
      </c>
      <c r="E277" s="3">
        <v>1</v>
      </c>
      <c r="F277" s="3">
        <f t="shared" si="19"/>
        <v>120</v>
      </c>
      <c r="G277" s="3">
        <v>120</v>
      </c>
      <c r="H277" s="16">
        <f t="shared" si="20"/>
        <v>0</v>
      </c>
      <c r="I277" s="21">
        <f t="shared" si="21"/>
        <v>0</v>
      </c>
    </row>
    <row r="278" spans="1:9" ht="13.5">
      <c r="A278" s="1">
        <v>11</v>
      </c>
      <c r="B278" s="2" t="s">
        <v>275</v>
      </c>
      <c r="C278" s="3">
        <v>28</v>
      </c>
      <c r="D278" s="3"/>
      <c r="E278" s="3"/>
      <c r="F278" s="3">
        <f t="shared" si="19"/>
        <v>28</v>
      </c>
      <c r="G278" s="3">
        <v>28</v>
      </c>
      <c r="H278" s="16">
        <f t="shared" si="20"/>
        <v>0</v>
      </c>
      <c r="I278" s="21">
        <f t="shared" si="21"/>
        <v>0</v>
      </c>
    </row>
    <row r="279" spans="1:9" ht="13.5">
      <c r="A279" s="1">
        <v>12</v>
      </c>
      <c r="B279" s="2" t="s">
        <v>276</v>
      </c>
      <c r="C279" s="3">
        <v>30</v>
      </c>
      <c r="D279" s="3"/>
      <c r="E279" s="3"/>
      <c r="F279" s="3">
        <f t="shared" si="19"/>
        <v>30</v>
      </c>
      <c r="G279" s="3">
        <v>34</v>
      </c>
      <c r="H279" s="16">
        <f t="shared" si="20"/>
        <v>-4</v>
      </c>
      <c r="I279" s="21">
        <f t="shared" si="21"/>
        <v>0.375</v>
      </c>
    </row>
    <row r="280" spans="1:9" ht="13.5">
      <c r="A280" s="1">
        <v>13</v>
      </c>
      <c r="B280" s="2" t="s">
        <v>277</v>
      </c>
      <c r="C280" s="3">
        <v>11</v>
      </c>
      <c r="D280" s="3"/>
      <c r="E280" s="3">
        <v>1</v>
      </c>
      <c r="F280" s="3">
        <f t="shared" si="19"/>
        <v>10</v>
      </c>
      <c r="G280" s="3">
        <v>10</v>
      </c>
      <c r="H280" s="16">
        <f t="shared" si="20"/>
        <v>0</v>
      </c>
      <c r="I280" s="21">
        <f t="shared" si="21"/>
        <v>0</v>
      </c>
    </row>
    <row r="281" spans="1:9" ht="13.5">
      <c r="A281" s="1">
        <v>14</v>
      </c>
      <c r="B281" s="2" t="s">
        <v>278</v>
      </c>
      <c r="C281" s="3">
        <v>8</v>
      </c>
      <c r="D281" s="3"/>
      <c r="E281" s="3"/>
      <c r="F281" s="3">
        <f t="shared" si="19"/>
        <v>8</v>
      </c>
      <c r="G281" s="3">
        <v>8</v>
      </c>
      <c r="H281" s="16">
        <f t="shared" si="20"/>
        <v>0</v>
      </c>
      <c r="I281" s="21">
        <f t="shared" si="21"/>
        <v>0</v>
      </c>
    </row>
    <row r="282" spans="1:9" ht="13.5">
      <c r="A282" s="1">
        <v>15</v>
      </c>
      <c r="B282" s="2" t="s">
        <v>279</v>
      </c>
      <c r="C282" s="3"/>
      <c r="D282" s="3"/>
      <c r="E282" s="3"/>
      <c r="F282" s="3"/>
      <c r="G282" s="3"/>
      <c r="H282" s="16">
        <f t="shared" si="20"/>
        <v>0</v>
      </c>
      <c r="I282" s="21">
        <f t="shared" si="21"/>
        <v>0</v>
      </c>
    </row>
    <row r="283" spans="1:9" ht="13.5">
      <c r="A283" s="1">
        <v>16</v>
      </c>
      <c r="B283" s="2" t="s">
        <v>280</v>
      </c>
      <c r="C283" s="3">
        <v>121</v>
      </c>
      <c r="D283" s="3"/>
      <c r="E283" s="3">
        <v>2</v>
      </c>
      <c r="F283" s="3">
        <f aca="true" t="shared" si="22" ref="F283:F326">C283-E283-D283</f>
        <v>119</v>
      </c>
      <c r="G283" s="3">
        <v>175</v>
      </c>
      <c r="H283" s="16">
        <f t="shared" si="20"/>
        <v>-56</v>
      </c>
      <c r="I283" s="21">
        <v>6</v>
      </c>
    </row>
    <row r="284" spans="1:9" ht="13.5">
      <c r="A284" s="14" t="s">
        <v>467</v>
      </c>
      <c r="B284" s="15" t="s">
        <v>281</v>
      </c>
      <c r="C284" s="16">
        <f>SUM(C285:C294)</f>
        <v>240</v>
      </c>
      <c r="D284" s="16">
        <f>SUM(D285:D294)</f>
        <v>0</v>
      </c>
      <c r="E284" s="16">
        <f>SUM(E285:E294)</f>
        <v>3</v>
      </c>
      <c r="F284" s="16">
        <f t="shared" si="22"/>
        <v>237</v>
      </c>
      <c r="G284" s="16">
        <f>SUM(G285:G294)</f>
        <v>269</v>
      </c>
      <c r="H284" s="16">
        <f>SUM(H285:H294)</f>
        <v>-32</v>
      </c>
      <c r="I284" s="23">
        <f>H284/1484*-141</f>
        <v>3.0404312668463613</v>
      </c>
    </row>
    <row r="285" spans="1:9" ht="13.5">
      <c r="A285" s="1">
        <v>1</v>
      </c>
      <c r="B285" s="2" t="s">
        <v>282</v>
      </c>
      <c r="C285" s="3">
        <v>14</v>
      </c>
      <c r="D285" s="3"/>
      <c r="E285" s="3"/>
      <c r="F285" s="3">
        <f t="shared" si="22"/>
        <v>14</v>
      </c>
      <c r="G285" s="18">
        <v>14</v>
      </c>
      <c r="H285" s="16">
        <f t="shared" si="20"/>
        <v>0</v>
      </c>
      <c r="I285" s="21">
        <f>H285/-32*12</f>
        <v>0</v>
      </c>
    </row>
    <row r="286" spans="1:9" ht="13.5">
      <c r="A286" s="1">
        <v>2</v>
      </c>
      <c r="B286" s="2" t="s">
        <v>283</v>
      </c>
      <c r="C286" s="3">
        <v>47</v>
      </c>
      <c r="D286" s="3"/>
      <c r="E286" s="3"/>
      <c r="F286" s="3">
        <f t="shared" si="22"/>
        <v>47</v>
      </c>
      <c r="G286" s="18">
        <v>47</v>
      </c>
      <c r="H286" s="16">
        <v>0</v>
      </c>
      <c r="I286" s="21">
        <f>H286/-32*12</f>
        <v>0</v>
      </c>
    </row>
    <row r="287" spans="1:9" ht="13.5">
      <c r="A287" s="1">
        <v>3</v>
      </c>
      <c r="B287" s="2" t="s">
        <v>284</v>
      </c>
      <c r="C287" s="3">
        <v>19</v>
      </c>
      <c r="D287" s="3"/>
      <c r="E287" s="3"/>
      <c r="F287" s="3">
        <f t="shared" si="22"/>
        <v>19</v>
      </c>
      <c r="G287" s="18">
        <v>33</v>
      </c>
      <c r="H287" s="16">
        <f t="shared" si="20"/>
        <v>-14</v>
      </c>
      <c r="I287" s="21">
        <f>H287/-32*3</f>
        <v>1.3125</v>
      </c>
    </row>
    <row r="288" spans="1:9" ht="13.5">
      <c r="A288" s="1">
        <v>4</v>
      </c>
      <c r="B288" s="2" t="s">
        <v>285</v>
      </c>
      <c r="C288" s="3">
        <v>17</v>
      </c>
      <c r="D288" s="3"/>
      <c r="E288" s="3"/>
      <c r="F288" s="3">
        <f t="shared" si="22"/>
        <v>17</v>
      </c>
      <c r="G288" s="18">
        <v>17</v>
      </c>
      <c r="H288" s="16">
        <v>0</v>
      </c>
      <c r="I288" s="21">
        <f aca="true" t="shared" si="23" ref="I288:I293">H288/-32*3</f>
        <v>0</v>
      </c>
    </row>
    <row r="289" spans="1:9" ht="13.5">
      <c r="A289" s="1">
        <v>5</v>
      </c>
      <c r="B289" s="2" t="s">
        <v>286</v>
      </c>
      <c r="C289" s="3">
        <v>2</v>
      </c>
      <c r="D289" s="3"/>
      <c r="E289" s="3"/>
      <c r="F289" s="3">
        <f t="shared" si="22"/>
        <v>2</v>
      </c>
      <c r="G289" s="18">
        <v>4</v>
      </c>
      <c r="H289" s="16">
        <f t="shared" si="20"/>
        <v>-2</v>
      </c>
      <c r="I289" s="21">
        <f t="shared" si="23"/>
        <v>0.1875</v>
      </c>
    </row>
    <row r="290" spans="1:9" ht="13.5">
      <c r="A290" s="1">
        <v>6</v>
      </c>
      <c r="B290" s="2" t="s">
        <v>287</v>
      </c>
      <c r="C290" s="3">
        <v>4</v>
      </c>
      <c r="D290" s="3"/>
      <c r="E290" s="3"/>
      <c r="F290" s="3">
        <f t="shared" si="22"/>
        <v>4</v>
      </c>
      <c r="G290" s="18">
        <v>4</v>
      </c>
      <c r="H290" s="16">
        <f t="shared" si="20"/>
        <v>0</v>
      </c>
      <c r="I290" s="21">
        <f t="shared" si="23"/>
        <v>0</v>
      </c>
    </row>
    <row r="291" spans="1:9" ht="13.5">
      <c r="A291" s="1">
        <v>7</v>
      </c>
      <c r="B291" s="2" t="s">
        <v>288</v>
      </c>
      <c r="C291" s="3"/>
      <c r="D291" s="3"/>
      <c r="E291" s="3"/>
      <c r="F291" s="3">
        <f t="shared" si="22"/>
        <v>0</v>
      </c>
      <c r="G291" s="18">
        <v>0</v>
      </c>
      <c r="H291" s="16">
        <f t="shared" si="20"/>
        <v>0</v>
      </c>
      <c r="I291" s="21">
        <f t="shared" si="23"/>
        <v>0</v>
      </c>
    </row>
    <row r="292" spans="1:9" ht="13.5">
      <c r="A292" s="1">
        <v>8</v>
      </c>
      <c r="B292" s="2" t="s">
        <v>289</v>
      </c>
      <c r="C292" s="3">
        <v>3</v>
      </c>
      <c r="D292" s="3"/>
      <c r="E292" s="3"/>
      <c r="F292" s="3">
        <f t="shared" si="22"/>
        <v>3</v>
      </c>
      <c r="G292" s="18">
        <v>3</v>
      </c>
      <c r="H292" s="16">
        <f t="shared" si="20"/>
        <v>0</v>
      </c>
      <c r="I292" s="21">
        <f t="shared" si="23"/>
        <v>0</v>
      </c>
    </row>
    <row r="293" spans="1:9" ht="13.5">
      <c r="A293" s="1">
        <v>9</v>
      </c>
      <c r="B293" s="2" t="s">
        <v>290</v>
      </c>
      <c r="C293" s="3">
        <v>118</v>
      </c>
      <c r="D293" s="3"/>
      <c r="E293" s="3">
        <v>3</v>
      </c>
      <c r="F293" s="3">
        <f t="shared" si="22"/>
        <v>115</v>
      </c>
      <c r="G293" s="18">
        <v>131</v>
      </c>
      <c r="H293" s="16">
        <f t="shared" si="20"/>
        <v>-16</v>
      </c>
      <c r="I293" s="21">
        <f t="shared" si="23"/>
        <v>1.5</v>
      </c>
    </row>
    <row r="294" spans="1:9" ht="13.5">
      <c r="A294" s="1">
        <v>10</v>
      </c>
      <c r="B294" s="2" t="s">
        <v>291</v>
      </c>
      <c r="C294" s="3">
        <v>16</v>
      </c>
      <c r="D294" s="3"/>
      <c r="E294" s="3"/>
      <c r="F294" s="3">
        <f t="shared" si="22"/>
        <v>16</v>
      </c>
      <c r="G294" s="3">
        <v>16</v>
      </c>
      <c r="H294" s="16">
        <f t="shared" si="20"/>
        <v>0</v>
      </c>
      <c r="I294" s="21">
        <f>H294/-32*12</f>
        <v>0</v>
      </c>
    </row>
    <row r="295" spans="1:9" ht="13.5">
      <c r="A295" s="14" t="s">
        <v>468</v>
      </c>
      <c r="B295" s="15" t="s">
        <v>292</v>
      </c>
      <c r="C295" s="16">
        <f>SUM(C296:C309)</f>
        <v>472</v>
      </c>
      <c r="D295" s="16">
        <f>SUM(D296:D309)</f>
        <v>0</v>
      </c>
      <c r="E295" s="16">
        <f>SUM(E296:E309)</f>
        <v>3</v>
      </c>
      <c r="F295" s="16">
        <f t="shared" si="22"/>
        <v>469</v>
      </c>
      <c r="G295" s="16">
        <f>SUM(G296:G309)</f>
        <v>469</v>
      </c>
      <c r="H295" s="16">
        <f>SUM(H296:H309)</f>
        <v>0</v>
      </c>
      <c r="I295" s="21">
        <f>H295/1484*-578</f>
        <v>0</v>
      </c>
    </row>
    <row r="296" spans="1:9" ht="13.5">
      <c r="A296" s="1">
        <v>1</v>
      </c>
      <c r="B296" s="2" t="s">
        <v>293</v>
      </c>
      <c r="C296" s="3">
        <v>18</v>
      </c>
      <c r="D296" s="3"/>
      <c r="E296" s="3"/>
      <c r="F296" s="3">
        <f t="shared" si="22"/>
        <v>18</v>
      </c>
      <c r="G296" s="3">
        <v>18</v>
      </c>
      <c r="H296" s="16">
        <v>0</v>
      </c>
      <c r="I296" s="21">
        <v>0</v>
      </c>
    </row>
    <row r="297" spans="1:9" ht="13.5">
      <c r="A297" s="1">
        <v>2</v>
      </c>
      <c r="B297" s="2" t="s">
        <v>294</v>
      </c>
      <c r="C297" s="3">
        <v>36</v>
      </c>
      <c r="D297" s="3"/>
      <c r="E297" s="3"/>
      <c r="F297" s="3">
        <f t="shared" si="22"/>
        <v>36</v>
      </c>
      <c r="G297" s="3">
        <v>36</v>
      </c>
      <c r="H297" s="16">
        <v>0</v>
      </c>
      <c r="I297" s="21">
        <v>0</v>
      </c>
    </row>
    <row r="298" spans="1:9" ht="13.5">
      <c r="A298" s="1">
        <v>3</v>
      </c>
      <c r="B298" s="2" t="s">
        <v>295</v>
      </c>
      <c r="C298" s="3">
        <v>76</v>
      </c>
      <c r="D298" s="3"/>
      <c r="E298" s="3">
        <v>1</v>
      </c>
      <c r="F298" s="3">
        <f t="shared" si="22"/>
        <v>75</v>
      </c>
      <c r="G298" s="3">
        <v>75</v>
      </c>
      <c r="H298" s="16">
        <f t="shared" si="20"/>
        <v>0</v>
      </c>
      <c r="I298" s="21">
        <v>0</v>
      </c>
    </row>
    <row r="299" spans="1:9" ht="13.5">
      <c r="A299" s="1">
        <v>4</v>
      </c>
      <c r="B299" s="2" t="s">
        <v>296</v>
      </c>
      <c r="C299" s="3">
        <v>36</v>
      </c>
      <c r="D299" s="3"/>
      <c r="E299" s="3">
        <v>1</v>
      </c>
      <c r="F299" s="3">
        <f t="shared" si="22"/>
        <v>35</v>
      </c>
      <c r="G299" s="3">
        <v>35</v>
      </c>
      <c r="H299" s="16">
        <v>0</v>
      </c>
      <c r="I299" s="21">
        <v>0</v>
      </c>
    </row>
    <row r="300" spans="1:9" ht="13.5">
      <c r="A300" s="1">
        <v>5</v>
      </c>
      <c r="B300" s="2" t="s">
        <v>297</v>
      </c>
      <c r="C300" s="3">
        <v>24</v>
      </c>
      <c r="D300" s="3"/>
      <c r="E300" s="3">
        <v>1</v>
      </c>
      <c r="F300" s="3">
        <f t="shared" si="22"/>
        <v>23</v>
      </c>
      <c r="G300" s="3">
        <v>23</v>
      </c>
      <c r="H300" s="16">
        <v>0</v>
      </c>
      <c r="I300" s="21">
        <v>0</v>
      </c>
    </row>
    <row r="301" spans="1:9" ht="13.5">
      <c r="A301" s="1">
        <v>6</v>
      </c>
      <c r="B301" s="2" t="s">
        <v>298</v>
      </c>
      <c r="C301" s="3">
        <v>11</v>
      </c>
      <c r="D301" s="3"/>
      <c r="E301" s="3"/>
      <c r="F301" s="3">
        <f t="shared" si="22"/>
        <v>11</v>
      </c>
      <c r="G301" s="3">
        <v>11</v>
      </c>
      <c r="H301" s="16">
        <f t="shared" si="20"/>
        <v>0</v>
      </c>
      <c r="I301" s="21">
        <v>0</v>
      </c>
    </row>
    <row r="302" spans="1:9" ht="13.5">
      <c r="A302" s="1">
        <v>7</v>
      </c>
      <c r="B302" s="2" t="s">
        <v>299</v>
      </c>
      <c r="C302" s="3"/>
      <c r="D302" s="3"/>
      <c r="E302" s="3"/>
      <c r="F302" s="3">
        <f t="shared" si="22"/>
        <v>0</v>
      </c>
      <c r="G302" s="3"/>
      <c r="H302" s="16">
        <f t="shared" si="20"/>
        <v>0</v>
      </c>
      <c r="I302" s="21">
        <v>0</v>
      </c>
    </row>
    <row r="303" spans="1:9" ht="13.5">
      <c r="A303" s="1">
        <v>8</v>
      </c>
      <c r="B303" s="2" t="s">
        <v>300</v>
      </c>
      <c r="C303" s="3"/>
      <c r="D303" s="3"/>
      <c r="E303" s="3"/>
      <c r="F303" s="3">
        <f t="shared" si="22"/>
        <v>0</v>
      </c>
      <c r="G303" s="3"/>
      <c r="H303" s="16">
        <f t="shared" si="20"/>
        <v>0</v>
      </c>
      <c r="I303" s="21">
        <v>0</v>
      </c>
    </row>
    <row r="304" spans="1:9" ht="13.5">
      <c r="A304" s="1">
        <v>9</v>
      </c>
      <c r="B304" s="2" t="s">
        <v>301</v>
      </c>
      <c r="C304" s="3">
        <v>1</v>
      </c>
      <c r="D304" s="3"/>
      <c r="E304" s="3"/>
      <c r="F304" s="3">
        <f t="shared" si="22"/>
        <v>1</v>
      </c>
      <c r="G304" s="3">
        <v>1</v>
      </c>
      <c r="H304" s="16">
        <f t="shared" si="20"/>
        <v>0</v>
      </c>
      <c r="I304" s="21">
        <v>0</v>
      </c>
    </row>
    <row r="305" spans="1:9" ht="13.5">
      <c r="A305" s="1">
        <v>10</v>
      </c>
      <c r="B305" s="2" t="s">
        <v>302</v>
      </c>
      <c r="C305" s="3">
        <v>26</v>
      </c>
      <c r="D305" s="3"/>
      <c r="E305" s="3"/>
      <c r="F305" s="3">
        <f t="shared" si="22"/>
        <v>26</v>
      </c>
      <c r="G305" s="3">
        <v>26</v>
      </c>
      <c r="H305" s="16">
        <f t="shared" si="20"/>
        <v>0</v>
      </c>
      <c r="I305" s="21">
        <v>0</v>
      </c>
    </row>
    <row r="306" spans="1:9" ht="13.5">
      <c r="A306" s="1">
        <v>11</v>
      </c>
      <c r="B306" s="2" t="s">
        <v>303</v>
      </c>
      <c r="C306" s="3">
        <v>29</v>
      </c>
      <c r="D306" s="3"/>
      <c r="E306" s="3"/>
      <c r="F306" s="3">
        <f t="shared" si="22"/>
        <v>29</v>
      </c>
      <c r="G306" s="3">
        <v>29</v>
      </c>
      <c r="H306" s="16">
        <f t="shared" si="20"/>
        <v>0</v>
      </c>
      <c r="I306" s="21">
        <v>0</v>
      </c>
    </row>
    <row r="307" spans="1:9" ht="13.5">
      <c r="A307" s="1">
        <v>12</v>
      </c>
      <c r="B307" s="2" t="s">
        <v>304</v>
      </c>
      <c r="C307" s="3">
        <v>35</v>
      </c>
      <c r="D307" s="3"/>
      <c r="E307" s="3"/>
      <c r="F307" s="3">
        <f t="shared" si="22"/>
        <v>35</v>
      </c>
      <c r="G307" s="3">
        <v>35</v>
      </c>
      <c r="H307" s="16">
        <f t="shared" si="20"/>
        <v>0</v>
      </c>
      <c r="I307" s="21">
        <v>0</v>
      </c>
    </row>
    <row r="308" spans="1:9" ht="13.5">
      <c r="A308" s="1">
        <v>13</v>
      </c>
      <c r="B308" s="2" t="s">
        <v>305</v>
      </c>
      <c r="C308" s="3">
        <v>1</v>
      </c>
      <c r="D308" s="3"/>
      <c r="E308" s="3"/>
      <c r="F308" s="3">
        <f t="shared" si="22"/>
        <v>1</v>
      </c>
      <c r="G308" s="3">
        <v>1</v>
      </c>
      <c r="H308" s="16">
        <f t="shared" si="20"/>
        <v>0</v>
      </c>
      <c r="I308" s="21">
        <v>0</v>
      </c>
    </row>
    <row r="309" spans="1:9" ht="13.5">
      <c r="A309" s="1">
        <v>14</v>
      </c>
      <c r="B309" s="2" t="s">
        <v>306</v>
      </c>
      <c r="C309" s="3">
        <v>179</v>
      </c>
      <c r="D309" s="3"/>
      <c r="E309" s="3"/>
      <c r="F309" s="3">
        <f t="shared" si="22"/>
        <v>179</v>
      </c>
      <c r="G309" s="3">
        <v>179</v>
      </c>
      <c r="H309" s="16">
        <v>0</v>
      </c>
      <c r="I309" s="21">
        <v>0</v>
      </c>
    </row>
    <row r="310" spans="1:9" ht="13.5">
      <c r="A310" s="14" t="s">
        <v>469</v>
      </c>
      <c r="B310" s="15" t="s">
        <v>307</v>
      </c>
      <c r="C310" s="16">
        <f>SUM(C311:C323)</f>
        <v>760</v>
      </c>
      <c r="D310" s="16">
        <f>SUM(D311:D323)</f>
        <v>1</v>
      </c>
      <c r="E310" s="16">
        <f>SUM(E311:E323)</f>
        <v>0</v>
      </c>
      <c r="F310" s="16">
        <f t="shared" si="22"/>
        <v>759</v>
      </c>
      <c r="G310" s="16">
        <f>SUM(G311:G323)</f>
        <v>948</v>
      </c>
      <c r="H310" s="16">
        <f>SUM(H311:H323)</f>
        <v>-189</v>
      </c>
      <c r="I310" s="23">
        <f>H310/1484*-141</f>
        <v>17.95754716981132</v>
      </c>
    </row>
    <row r="311" spans="1:9" ht="13.5">
      <c r="A311" s="1">
        <v>1</v>
      </c>
      <c r="B311" s="2" t="s">
        <v>308</v>
      </c>
      <c r="C311" s="3">
        <v>31</v>
      </c>
      <c r="D311" s="3"/>
      <c r="E311" s="3"/>
      <c r="F311" s="3">
        <f t="shared" si="22"/>
        <v>31</v>
      </c>
      <c r="G311" s="3">
        <v>41</v>
      </c>
      <c r="H311" s="16">
        <f t="shared" si="20"/>
        <v>-10</v>
      </c>
      <c r="I311" s="21">
        <f>H311/-189*18</f>
        <v>0.9523809523809523</v>
      </c>
    </row>
    <row r="312" spans="1:9" ht="13.5">
      <c r="A312" s="1">
        <v>2</v>
      </c>
      <c r="B312" s="2" t="s">
        <v>309</v>
      </c>
      <c r="C312" s="3">
        <v>10</v>
      </c>
      <c r="D312" s="3"/>
      <c r="E312" s="3"/>
      <c r="F312" s="3">
        <f t="shared" si="22"/>
        <v>10</v>
      </c>
      <c r="G312" s="3">
        <v>140</v>
      </c>
      <c r="H312" s="16">
        <f t="shared" si="20"/>
        <v>-130</v>
      </c>
      <c r="I312" s="21">
        <f aca="true" t="shared" si="24" ref="I312:I323">H312/-189*18</f>
        <v>12.38095238095238</v>
      </c>
    </row>
    <row r="313" spans="1:9" ht="13.5">
      <c r="A313" s="1">
        <v>3</v>
      </c>
      <c r="B313" s="2" t="s">
        <v>310</v>
      </c>
      <c r="C313" s="3">
        <v>45</v>
      </c>
      <c r="D313" s="3"/>
      <c r="E313" s="3"/>
      <c r="F313" s="3">
        <f t="shared" si="22"/>
        <v>45</v>
      </c>
      <c r="G313" s="3">
        <v>48</v>
      </c>
      <c r="H313" s="16">
        <f t="shared" si="20"/>
        <v>-3</v>
      </c>
      <c r="I313" s="21">
        <f t="shared" si="24"/>
        <v>0.2857142857142857</v>
      </c>
    </row>
    <row r="314" spans="1:9" ht="13.5">
      <c r="A314" s="1">
        <v>4</v>
      </c>
      <c r="B314" s="2" t="s">
        <v>311</v>
      </c>
      <c r="C314" s="3">
        <v>16</v>
      </c>
      <c r="D314" s="3"/>
      <c r="E314" s="3"/>
      <c r="F314" s="3">
        <f t="shared" si="22"/>
        <v>16</v>
      </c>
      <c r="G314" s="3">
        <v>16</v>
      </c>
      <c r="H314" s="16">
        <f t="shared" si="20"/>
        <v>0</v>
      </c>
      <c r="I314" s="21">
        <f t="shared" si="24"/>
        <v>0</v>
      </c>
    </row>
    <row r="315" spans="1:9" ht="13.5">
      <c r="A315" s="1">
        <v>5</v>
      </c>
      <c r="B315" s="2" t="s">
        <v>312</v>
      </c>
      <c r="C315" s="3">
        <v>73</v>
      </c>
      <c r="D315" s="3"/>
      <c r="E315" s="3"/>
      <c r="F315" s="3">
        <f t="shared" si="22"/>
        <v>73</v>
      </c>
      <c r="G315" s="3">
        <v>73</v>
      </c>
      <c r="H315" s="16">
        <v>0</v>
      </c>
      <c r="I315" s="21">
        <f t="shared" si="24"/>
        <v>0</v>
      </c>
    </row>
    <row r="316" spans="1:9" ht="13.5">
      <c r="A316" s="1">
        <v>6</v>
      </c>
      <c r="B316" s="2" t="s">
        <v>313</v>
      </c>
      <c r="C316" s="3">
        <v>72</v>
      </c>
      <c r="D316" s="3"/>
      <c r="E316" s="3"/>
      <c r="F316" s="3">
        <f t="shared" si="22"/>
        <v>72</v>
      </c>
      <c r="G316" s="3">
        <v>93</v>
      </c>
      <c r="H316" s="16">
        <f t="shared" si="20"/>
        <v>-21</v>
      </c>
      <c r="I316" s="21">
        <f t="shared" si="24"/>
        <v>2</v>
      </c>
    </row>
    <row r="317" spans="1:9" ht="13.5">
      <c r="A317" s="1">
        <v>7</v>
      </c>
      <c r="B317" s="2" t="s">
        <v>314</v>
      </c>
      <c r="C317" s="3">
        <v>131</v>
      </c>
      <c r="D317" s="3"/>
      <c r="E317" s="3"/>
      <c r="F317" s="3">
        <f t="shared" si="22"/>
        <v>131</v>
      </c>
      <c r="G317" s="3">
        <v>149</v>
      </c>
      <c r="H317" s="16">
        <f t="shared" si="20"/>
        <v>-18</v>
      </c>
      <c r="I317" s="21">
        <f t="shared" si="24"/>
        <v>1.7142857142857142</v>
      </c>
    </row>
    <row r="318" spans="1:9" ht="13.5">
      <c r="A318" s="1">
        <v>8</v>
      </c>
      <c r="B318" s="2" t="s">
        <v>315</v>
      </c>
      <c r="C318" s="3">
        <v>93</v>
      </c>
      <c r="D318" s="3"/>
      <c r="E318" s="3"/>
      <c r="F318" s="3">
        <f t="shared" si="22"/>
        <v>93</v>
      </c>
      <c r="G318" s="3">
        <v>93</v>
      </c>
      <c r="H318" s="16">
        <v>0</v>
      </c>
      <c r="I318" s="21">
        <f t="shared" si="24"/>
        <v>0</v>
      </c>
    </row>
    <row r="319" spans="1:9" ht="13.5">
      <c r="A319" s="1">
        <v>9</v>
      </c>
      <c r="B319" s="2" t="s">
        <v>316</v>
      </c>
      <c r="C319" s="3">
        <v>38</v>
      </c>
      <c r="D319" s="3"/>
      <c r="E319" s="3"/>
      <c r="F319" s="3">
        <f t="shared" si="22"/>
        <v>38</v>
      </c>
      <c r="G319" s="3">
        <v>38</v>
      </c>
      <c r="H319" s="16">
        <f t="shared" si="20"/>
        <v>0</v>
      </c>
      <c r="I319" s="21">
        <f t="shared" si="24"/>
        <v>0</v>
      </c>
    </row>
    <row r="320" spans="1:9" ht="13.5">
      <c r="A320" s="1">
        <v>10</v>
      </c>
      <c r="B320" s="2" t="s">
        <v>317</v>
      </c>
      <c r="C320" s="3">
        <v>8</v>
      </c>
      <c r="D320" s="3"/>
      <c r="E320" s="3"/>
      <c r="F320" s="3">
        <f t="shared" si="22"/>
        <v>8</v>
      </c>
      <c r="G320" s="3">
        <v>8</v>
      </c>
      <c r="H320" s="16">
        <f t="shared" si="20"/>
        <v>0</v>
      </c>
      <c r="I320" s="21">
        <f t="shared" si="24"/>
        <v>0</v>
      </c>
    </row>
    <row r="321" spans="1:9" ht="13.5">
      <c r="A321" s="1">
        <v>11</v>
      </c>
      <c r="B321" s="2" t="s">
        <v>318</v>
      </c>
      <c r="C321" s="3"/>
      <c r="D321" s="3"/>
      <c r="E321" s="3"/>
      <c r="F321" s="3">
        <f t="shared" si="22"/>
        <v>0</v>
      </c>
      <c r="G321" s="3"/>
      <c r="H321" s="16">
        <f t="shared" si="20"/>
        <v>0</v>
      </c>
      <c r="I321" s="21">
        <f t="shared" si="24"/>
        <v>0</v>
      </c>
    </row>
    <row r="322" spans="1:9" ht="13.5">
      <c r="A322" s="1">
        <v>12</v>
      </c>
      <c r="B322" s="2" t="s">
        <v>319</v>
      </c>
      <c r="C322" s="3">
        <v>187</v>
      </c>
      <c r="D322" s="3">
        <v>1</v>
      </c>
      <c r="E322" s="3"/>
      <c r="F322" s="3">
        <f t="shared" si="22"/>
        <v>186</v>
      </c>
      <c r="G322" s="3">
        <v>186</v>
      </c>
      <c r="H322" s="16">
        <v>0</v>
      </c>
      <c r="I322" s="21">
        <f t="shared" si="24"/>
        <v>0</v>
      </c>
    </row>
    <row r="323" spans="1:9" ht="13.5">
      <c r="A323" s="1">
        <v>13</v>
      </c>
      <c r="B323" s="2" t="s">
        <v>320</v>
      </c>
      <c r="C323" s="3">
        <v>56</v>
      </c>
      <c r="D323" s="3"/>
      <c r="E323" s="3"/>
      <c r="F323" s="3">
        <f t="shared" si="22"/>
        <v>56</v>
      </c>
      <c r="G323" s="3">
        <v>63</v>
      </c>
      <c r="H323" s="16">
        <f t="shared" si="20"/>
        <v>-7</v>
      </c>
      <c r="I323" s="21">
        <f t="shared" si="24"/>
        <v>0.6666666666666666</v>
      </c>
    </row>
    <row r="324" spans="1:9" ht="13.5">
      <c r="A324" s="14" t="s">
        <v>470</v>
      </c>
      <c r="B324" s="15" t="s">
        <v>321</v>
      </c>
      <c r="C324" s="16">
        <f>SUM(C325:C337)</f>
        <v>297</v>
      </c>
      <c r="D324" s="16">
        <f>SUM(D325:D337)</f>
        <v>0</v>
      </c>
      <c r="E324" s="16">
        <f>SUM(E325:E337)</f>
        <v>1</v>
      </c>
      <c r="F324" s="16">
        <f t="shared" si="22"/>
        <v>296</v>
      </c>
      <c r="G324" s="16">
        <f>SUM(G325:G337)</f>
        <v>355</v>
      </c>
      <c r="H324" s="16">
        <f>SUM(H325:H337)</f>
        <v>-59</v>
      </c>
      <c r="I324" s="23">
        <f>H324/1484*-141</f>
        <v>5.605795148247978</v>
      </c>
    </row>
    <row r="325" spans="1:9" ht="13.5">
      <c r="A325" s="1">
        <v>1</v>
      </c>
      <c r="B325" s="2" t="s">
        <v>322</v>
      </c>
      <c r="C325" s="3">
        <v>9</v>
      </c>
      <c r="D325" s="3"/>
      <c r="E325" s="3"/>
      <c r="F325" s="3">
        <f t="shared" si="22"/>
        <v>9</v>
      </c>
      <c r="G325" s="3">
        <v>9</v>
      </c>
      <c r="H325" s="16">
        <f t="shared" si="20"/>
        <v>0</v>
      </c>
      <c r="I325" s="21">
        <f>H325/-59*22</f>
        <v>0</v>
      </c>
    </row>
    <row r="326" spans="1:9" ht="13.5">
      <c r="A326" s="1">
        <v>2</v>
      </c>
      <c r="B326" s="2" t="s">
        <v>323</v>
      </c>
      <c r="C326" s="3">
        <v>48</v>
      </c>
      <c r="D326" s="3"/>
      <c r="E326" s="3"/>
      <c r="F326" s="3">
        <f t="shared" si="22"/>
        <v>48</v>
      </c>
      <c r="G326" s="3">
        <v>48</v>
      </c>
      <c r="H326" s="16">
        <v>0</v>
      </c>
      <c r="I326" s="21">
        <f aca="true" t="shared" si="25" ref="I326:I337">H326/-59*22</f>
        <v>0</v>
      </c>
    </row>
    <row r="327" spans="1:9" ht="13.5">
      <c r="A327" s="1">
        <v>3</v>
      </c>
      <c r="B327" s="2" t="s">
        <v>324</v>
      </c>
      <c r="C327" s="3">
        <v>3</v>
      </c>
      <c r="D327" s="3"/>
      <c r="E327" s="3"/>
      <c r="F327" s="3">
        <f aca="true" t="shared" si="26" ref="F327:F390">C327-E327-D327</f>
        <v>3</v>
      </c>
      <c r="G327" s="3">
        <v>12</v>
      </c>
      <c r="H327" s="16">
        <f aca="true" t="shared" si="27" ref="H327:H384">F327-G327</f>
        <v>-9</v>
      </c>
      <c r="I327" s="21">
        <f>H327/-59*6</f>
        <v>0.9152542372881356</v>
      </c>
    </row>
    <row r="328" spans="1:9" ht="13.5">
      <c r="A328" s="1">
        <v>4</v>
      </c>
      <c r="B328" s="2" t="s">
        <v>325</v>
      </c>
      <c r="C328" s="3">
        <v>7</v>
      </c>
      <c r="D328" s="3"/>
      <c r="E328" s="3"/>
      <c r="F328" s="3">
        <f t="shared" si="26"/>
        <v>7</v>
      </c>
      <c r="G328" s="3">
        <v>7</v>
      </c>
      <c r="H328" s="16">
        <v>0</v>
      </c>
      <c r="I328" s="21">
        <f t="shared" si="25"/>
        <v>0</v>
      </c>
    </row>
    <row r="329" spans="1:9" ht="13.5">
      <c r="A329" s="1">
        <v>5</v>
      </c>
      <c r="B329" s="2" t="s">
        <v>326</v>
      </c>
      <c r="C329" s="3"/>
      <c r="D329" s="3"/>
      <c r="E329" s="3"/>
      <c r="F329" s="3">
        <f t="shared" si="26"/>
        <v>0</v>
      </c>
      <c r="G329" s="3">
        <v>0</v>
      </c>
      <c r="H329" s="16">
        <f t="shared" si="27"/>
        <v>0</v>
      </c>
      <c r="I329" s="21">
        <f t="shared" si="25"/>
        <v>0</v>
      </c>
    </row>
    <row r="330" spans="1:9" ht="13.5">
      <c r="A330" s="1">
        <v>6</v>
      </c>
      <c r="B330" s="2" t="s">
        <v>327</v>
      </c>
      <c r="C330" s="3">
        <v>3</v>
      </c>
      <c r="D330" s="3"/>
      <c r="E330" s="3"/>
      <c r="F330" s="3">
        <f t="shared" si="26"/>
        <v>3</v>
      </c>
      <c r="G330" s="3">
        <v>3</v>
      </c>
      <c r="H330" s="16">
        <f t="shared" si="27"/>
        <v>0</v>
      </c>
      <c r="I330" s="21">
        <f t="shared" si="25"/>
        <v>0</v>
      </c>
    </row>
    <row r="331" spans="1:9" ht="13.5">
      <c r="A331" s="1">
        <v>7</v>
      </c>
      <c r="B331" s="2" t="s">
        <v>328</v>
      </c>
      <c r="C331" s="3"/>
      <c r="D331" s="3"/>
      <c r="E331" s="3"/>
      <c r="F331" s="3">
        <f t="shared" si="26"/>
        <v>0</v>
      </c>
      <c r="G331" s="3">
        <v>0</v>
      </c>
      <c r="H331" s="16">
        <f t="shared" si="27"/>
        <v>0</v>
      </c>
      <c r="I331" s="21">
        <f t="shared" si="25"/>
        <v>0</v>
      </c>
    </row>
    <row r="332" spans="1:9" ht="13.5">
      <c r="A332" s="1">
        <v>8</v>
      </c>
      <c r="B332" s="2" t="s">
        <v>329</v>
      </c>
      <c r="C332" s="3">
        <v>1</v>
      </c>
      <c r="D332" s="3"/>
      <c r="E332" s="3"/>
      <c r="F332" s="3">
        <f t="shared" si="26"/>
        <v>1</v>
      </c>
      <c r="G332" s="3">
        <v>3</v>
      </c>
      <c r="H332" s="16">
        <f t="shared" si="27"/>
        <v>-2</v>
      </c>
      <c r="I332" s="21">
        <f>H332/-59*6</f>
        <v>0.2033898305084746</v>
      </c>
    </row>
    <row r="333" spans="1:9" ht="13.5">
      <c r="A333" s="1">
        <v>9</v>
      </c>
      <c r="B333" s="2" t="s">
        <v>330</v>
      </c>
      <c r="C333" s="3">
        <v>1</v>
      </c>
      <c r="D333" s="3"/>
      <c r="E333" s="3"/>
      <c r="F333" s="3">
        <f t="shared" si="26"/>
        <v>1</v>
      </c>
      <c r="G333" s="3">
        <v>1</v>
      </c>
      <c r="H333" s="16">
        <f t="shared" si="27"/>
        <v>0</v>
      </c>
      <c r="I333" s="21">
        <f t="shared" si="25"/>
        <v>0</v>
      </c>
    </row>
    <row r="334" spans="1:9" ht="13.5">
      <c r="A334" s="1">
        <v>10</v>
      </c>
      <c r="B334" s="2" t="s">
        <v>331</v>
      </c>
      <c r="C334" s="3">
        <v>61</v>
      </c>
      <c r="D334" s="3"/>
      <c r="E334" s="3"/>
      <c r="F334" s="3">
        <f t="shared" si="26"/>
        <v>61</v>
      </c>
      <c r="G334" s="3">
        <v>61</v>
      </c>
      <c r="H334" s="16">
        <f t="shared" si="27"/>
        <v>0</v>
      </c>
      <c r="I334" s="21">
        <f t="shared" si="25"/>
        <v>0</v>
      </c>
    </row>
    <row r="335" spans="1:9" ht="13.5">
      <c r="A335" s="1">
        <v>11</v>
      </c>
      <c r="B335" s="2" t="s">
        <v>332</v>
      </c>
      <c r="C335" s="3">
        <v>153</v>
      </c>
      <c r="D335" s="3"/>
      <c r="E335" s="3">
        <v>1</v>
      </c>
      <c r="F335" s="3">
        <f t="shared" si="26"/>
        <v>152</v>
      </c>
      <c r="G335" s="3">
        <v>200</v>
      </c>
      <c r="H335" s="16">
        <f t="shared" si="27"/>
        <v>-48</v>
      </c>
      <c r="I335" s="21">
        <f>H335/-59*6</f>
        <v>4.88135593220339</v>
      </c>
    </row>
    <row r="336" spans="1:9" ht="13.5">
      <c r="A336" s="1">
        <v>12</v>
      </c>
      <c r="B336" s="2" t="s">
        <v>333</v>
      </c>
      <c r="C336" s="3">
        <v>4</v>
      </c>
      <c r="D336" s="3"/>
      <c r="E336" s="3"/>
      <c r="F336" s="3">
        <f t="shared" si="26"/>
        <v>4</v>
      </c>
      <c r="G336" s="3">
        <v>4</v>
      </c>
      <c r="H336" s="16">
        <f t="shared" si="27"/>
        <v>0</v>
      </c>
      <c r="I336" s="21">
        <f t="shared" si="25"/>
        <v>0</v>
      </c>
    </row>
    <row r="337" spans="1:9" ht="13.5">
      <c r="A337" s="1">
        <v>13</v>
      </c>
      <c r="B337" s="2" t="s">
        <v>334</v>
      </c>
      <c r="C337" s="3">
        <v>7</v>
      </c>
      <c r="D337" s="3"/>
      <c r="E337" s="3"/>
      <c r="F337" s="3">
        <f t="shared" si="26"/>
        <v>7</v>
      </c>
      <c r="G337" s="3">
        <v>7</v>
      </c>
      <c r="H337" s="16">
        <v>0</v>
      </c>
      <c r="I337" s="21">
        <f t="shared" si="25"/>
        <v>0</v>
      </c>
    </row>
    <row r="338" spans="1:9" ht="13.5">
      <c r="A338" s="14" t="s">
        <v>471</v>
      </c>
      <c r="B338" s="15" t="s">
        <v>335</v>
      </c>
      <c r="C338" s="16">
        <f>SUM(C339:C345)</f>
        <v>1028</v>
      </c>
      <c r="D338" s="16">
        <f>SUM(D339:D345)</f>
        <v>2</v>
      </c>
      <c r="E338" s="16">
        <f>SUM(E339:E345)</f>
        <v>4</v>
      </c>
      <c r="F338" s="16">
        <f t="shared" si="26"/>
        <v>1022</v>
      </c>
      <c r="G338" s="16">
        <f>SUM(G339:G345)</f>
        <v>1022</v>
      </c>
      <c r="H338" s="16">
        <f>SUM(H339:H345)</f>
        <v>0</v>
      </c>
      <c r="I338" s="21">
        <f>H338/1484*-578</f>
        <v>0</v>
      </c>
    </row>
    <row r="339" spans="1:9" ht="13.5">
      <c r="A339" s="1">
        <v>1</v>
      </c>
      <c r="B339" s="2" t="s">
        <v>336</v>
      </c>
      <c r="C339" s="3">
        <v>187</v>
      </c>
      <c r="D339" s="3"/>
      <c r="E339" s="3"/>
      <c r="F339" s="3">
        <f t="shared" si="26"/>
        <v>187</v>
      </c>
      <c r="G339" s="3">
        <v>187</v>
      </c>
      <c r="H339" s="16">
        <v>0</v>
      </c>
      <c r="I339" s="21">
        <v>0</v>
      </c>
    </row>
    <row r="340" spans="1:9" ht="13.5">
      <c r="A340" s="1">
        <v>2</v>
      </c>
      <c r="B340" s="2" t="s">
        <v>337</v>
      </c>
      <c r="C340" s="3">
        <v>469</v>
      </c>
      <c r="D340" s="3">
        <v>2</v>
      </c>
      <c r="E340" s="3">
        <v>1</v>
      </c>
      <c r="F340" s="3">
        <f t="shared" si="26"/>
        <v>466</v>
      </c>
      <c r="G340" s="3">
        <v>466</v>
      </c>
      <c r="H340" s="16">
        <v>0</v>
      </c>
      <c r="I340" s="21">
        <v>0</v>
      </c>
    </row>
    <row r="341" spans="1:9" ht="13.5">
      <c r="A341" s="1">
        <v>3</v>
      </c>
      <c r="B341" s="2" t="s">
        <v>338</v>
      </c>
      <c r="C341" s="3">
        <v>104</v>
      </c>
      <c r="D341" s="3"/>
      <c r="E341" s="3"/>
      <c r="F341" s="3">
        <f t="shared" si="26"/>
        <v>104</v>
      </c>
      <c r="G341" s="3">
        <v>104</v>
      </c>
      <c r="H341" s="16">
        <v>0</v>
      </c>
      <c r="I341" s="21">
        <v>0</v>
      </c>
    </row>
    <row r="342" spans="1:9" ht="13.5">
      <c r="A342" s="1">
        <v>4</v>
      </c>
      <c r="B342" s="2" t="s">
        <v>339</v>
      </c>
      <c r="C342" s="3">
        <v>41</v>
      </c>
      <c r="D342" s="3"/>
      <c r="E342" s="3"/>
      <c r="F342" s="3">
        <f t="shared" si="26"/>
        <v>41</v>
      </c>
      <c r="G342" s="3">
        <v>41</v>
      </c>
      <c r="H342" s="16">
        <f t="shared" si="27"/>
        <v>0</v>
      </c>
      <c r="I342" s="21">
        <v>0</v>
      </c>
    </row>
    <row r="343" spans="1:9" ht="13.5">
      <c r="A343" s="1">
        <v>5</v>
      </c>
      <c r="B343" s="2" t="s">
        <v>340</v>
      </c>
      <c r="C343" s="3"/>
      <c r="D343" s="3"/>
      <c r="E343" s="3"/>
      <c r="F343" s="3">
        <f t="shared" si="26"/>
        <v>0</v>
      </c>
      <c r="G343" s="3"/>
      <c r="H343" s="16">
        <f t="shared" si="27"/>
        <v>0</v>
      </c>
      <c r="I343" s="21">
        <v>0</v>
      </c>
    </row>
    <row r="344" spans="1:9" ht="13.5">
      <c r="A344" s="1">
        <v>6</v>
      </c>
      <c r="B344" s="2" t="s">
        <v>341</v>
      </c>
      <c r="C344" s="3">
        <v>195</v>
      </c>
      <c r="D344" s="3"/>
      <c r="E344" s="3">
        <v>1</v>
      </c>
      <c r="F344" s="3">
        <f t="shared" si="26"/>
        <v>194</v>
      </c>
      <c r="G344" s="3">
        <v>194</v>
      </c>
      <c r="H344" s="16">
        <v>0</v>
      </c>
      <c r="I344" s="21">
        <v>0</v>
      </c>
    </row>
    <row r="345" spans="1:9" ht="13.5">
      <c r="A345" s="1">
        <v>7</v>
      </c>
      <c r="B345" s="2" t="s">
        <v>342</v>
      </c>
      <c r="C345" s="3">
        <v>32</v>
      </c>
      <c r="D345" s="3"/>
      <c r="E345" s="3">
        <v>2</v>
      </c>
      <c r="F345" s="3">
        <f t="shared" si="26"/>
        <v>30</v>
      </c>
      <c r="G345" s="3">
        <v>30</v>
      </c>
      <c r="H345" s="16">
        <v>0</v>
      </c>
      <c r="I345" s="21">
        <v>0</v>
      </c>
    </row>
    <row r="346" spans="1:9" ht="13.5">
      <c r="A346" s="14" t="s">
        <v>472</v>
      </c>
      <c r="B346" s="15" t="s">
        <v>343</v>
      </c>
      <c r="C346" s="16">
        <f>SUM(C347:C355)</f>
        <v>771</v>
      </c>
      <c r="D346" s="16">
        <f>SUM(D347:D355)</f>
        <v>3</v>
      </c>
      <c r="E346" s="16">
        <f>SUM(E347:E355)</f>
        <v>6</v>
      </c>
      <c r="F346" s="16">
        <f t="shared" si="26"/>
        <v>762</v>
      </c>
      <c r="G346" s="16">
        <f>SUM(G347:G355)</f>
        <v>784</v>
      </c>
      <c r="H346" s="16">
        <f>SUM(H347:H355)</f>
        <v>-22</v>
      </c>
      <c r="I346" s="23">
        <f>H346/1484*-141</f>
        <v>2.0902964959568733</v>
      </c>
    </row>
    <row r="347" spans="1:9" ht="13.5">
      <c r="A347" s="1">
        <v>1</v>
      </c>
      <c r="B347" s="2" t="s">
        <v>344</v>
      </c>
      <c r="C347" s="3">
        <v>94</v>
      </c>
      <c r="D347" s="3">
        <v>1</v>
      </c>
      <c r="E347" s="3">
        <v>1</v>
      </c>
      <c r="F347" s="3">
        <f t="shared" si="26"/>
        <v>92</v>
      </c>
      <c r="G347" s="3">
        <v>92</v>
      </c>
      <c r="H347" s="16">
        <v>0</v>
      </c>
      <c r="I347" s="21">
        <f>H347/-22*8</f>
        <v>0</v>
      </c>
    </row>
    <row r="348" spans="1:9" ht="13.5">
      <c r="A348" s="1">
        <v>2</v>
      </c>
      <c r="B348" s="2" t="s">
        <v>345</v>
      </c>
      <c r="C348" s="3">
        <v>176</v>
      </c>
      <c r="D348" s="3">
        <v>1</v>
      </c>
      <c r="E348" s="3"/>
      <c r="F348" s="3">
        <f t="shared" si="26"/>
        <v>175</v>
      </c>
      <c r="G348" s="3">
        <v>175</v>
      </c>
      <c r="H348" s="16">
        <v>0</v>
      </c>
      <c r="I348" s="21">
        <f>H348/-22*8</f>
        <v>0</v>
      </c>
    </row>
    <row r="349" spans="1:9" ht="13.5">
      <c r="A349" s="1">
        <v>3</v>
      </c>
      <c r="B349" s="2" t="s">
        <v>346</v>
      </c>
      <c r="C349" s="3">
        <v>166</v>
      </c>
      <c r="D349" s="3"/>
      <c r="E349" s="3">
        <v>2</v>
      </c>
      <c r="F349" s="3">
        <f t="shared" si="26"/>
        <v>164</v>
      </c>
      <c r="G349" s="3">
        <v>172</v>
      </c>
      <c r="H349" s="16">
        <f t="shared" si="27"/>
        <v>-8</v>
      </c>
      <c r="I349" s="21">
        <f>H349/-22*2</f>
        <v>0.7272727272727273</v>
      </c>
    </row>
    <row r="350" spans="1:9" ht="13.5">
      <c r="A350" s="1">
        <v>4</v>
      </c>
      <c r="B350" s="2" t="s">
        <v>347</v>
      </c>
      <c r="C350" s="3">
        <v>24</v>
      </c>
      <c r="D350" s="3"/>
      <c r="E350" s="3"/>
      <c r="F350" s="3">
        <f t="shared" si="26"/>
        <v>24</v>
      </c>
      <c r="G350" s="3">
        <v>30</v>
      </c>
      <c r="H350" s="16">
        <f t="shared" si="27"/>
        <v>-6</v>
      </c>
      <c r="I350" s="21">
        <v>0</v>
      </c>
    </row>
    <row r="351" spans="1:9" ht="13.5">
      <c r="A351" s="1">
        <v>5</v>
      </c>
      <c r="B351" s="2" t="s">
        <v>348</v>
      </c>
      <c r="C351" s="3">
        <v>5</v>
      </c>
      <c r="D351" s="3"/>
      <c r="E351" s="3"/>
      <c r="F351" s="3">
        <f t="shared" si="26"/>
        <v>5</v>
      </c>
      <c r="G351" s="3">
        <v>5</v>
      </c>
      <c r="H351" s="16">
        <f t="shared" si="27"/>
        <v>0</v>
      </c>
      <c r="I351" s="21">
        <f>H351/-22*2</f>
        <v>0</v>
      </c>
    </row>
    <row r="352" spans="1:9" ht="13.5">
      <c r="A352" s="1">
        <v>6</v>
      </c>
      <c r="B352" s="2" t="s">
        <v>349</v>
      </c>
      <c r="C352" s="3">
        <v>46</v>
      </c>
      <c r="D352" s="3"/>
      <c r="E352" s="3">
        <v>1</v>
      </c>
      <c r="F352" s="3">
        <f t="shared" si="26"/>
        <v>45</v>
      </c>
      <c r="G352" s="3">
        <v>45</v>
      </c>
      <c r="H352" s="16">
        <f t="shared" si="27"/>
        <v>0</v>
      </c>
      <c r="I352" s="21">
        <f>H352/-22*2</f>
        <v>0</v>
      </c>
    </row>
    <row r="353" spans="1:9" ht="13.5">
      <c r="A353" s="1">
        <v>7</v>
      </c>
      <c r="B353" s="2" t="s">
        <v>350</v>
      </c>
      <c r="C353" s="3">
        <v>11</v>
      </c>
      <c r="D353" s="3"/>
      <c r="E353" s="3"/>
      <c r="F353" s="3">
        <f t="shared" si="26"/>
        <v>11</v>
      </c>
      <c r="G353" s="3">
        <v>19</v>
      </c>
      <c r="H353" s="16">
        <f t="shared" si="27"/>
        <v>-8</v>
      </c>
      <c r="I353" s="21">
        <f>H353/-22*2</f>
        <v>0.7272727272727273</v>
      </c>
    </row>
    <row r="354" spans="1:9" ht="13.5">
      <c r="A354" s="1">
        <v>8</v>
      </c>
      <c r="B354" s="2" t="s">
        <v>351</v>
      </c>
      <c r="C354" s="3">
        <v>26</v>
      </c>
      <c r="D354" s="3"/>
      <c r="E354" s="3"/>
      <c r="F354" s="3">
        <f t="shared" si="26"/>
        <v>26</v>
      </c>
      <c r="G354" s="3">
        <v>26</v>
      </c>
      <c r="H354" s="16">
        <f t="shared" si="27"/>
        <v>0</v>
      </c>
      <c r="I354" s="21">
        <f>H354/-22*8</f>
        <v>0</v>
      </c>
    </row>
    <row r="355" spans="1:9" ht="13.5">
      <c r="A355" s="1">
        <v>9</v>
      </c>
      <c r="B355" s="2" t="s">
        <v>352</v>
      </c>
      <c r="C355" s="3">
        <v>223</v>
      </c>
      <c r="D355" s="3">
        <v>1</v>
      </c>
      <c r="E355" s="3">
        <v>2</v>
      </c>
      <c r="F355" s="3">
        <f t="shared" si="26"/>
        <v>220</v>
      </c>
      <c r="G355" s="3">
        <v>220</v>
      </c>
      <c r="H355" s="16">
        <v>0</v>
      </c>
      <c r="I355" s="21">
        <f>H355/-22*8</f>
        <v>0</v>
      </c>
    </row>
    <row r="356" spans="1:9" ht="13.5">
      <c r="A356" s="14" t="s">
        <v>473</v>
      </c>
      <c r="B356" s="15" t="s">
        <v>353</v>
      </c>
      <c r="C356" s="16">
        <f>SUM(C357:C384)</f>
        <v>2024</v>
      </c>
      <c r="D356" s="16">
        <f>SUM(D357:D384)</f>
        <v>8</v>
      </c>
      <c r="E356" s="16">
        <f>SUM(E357:E384)</f>
        <v>17</v>
      </c>
      <c r="F356" s="16">
        <f t="shared" si="26"/>
        <v>1999</v>
      </c>
      <c r="G356" s="16">
        <f>SUM(G357:G384)</f>
        <v>2130</v>
      </c>
      <c r="H356" s="16">
        <f>SUM(H357:H384)</f>
        <v>-131</v>
      </c>
      <c r="I356" s="23">
        <f>H356/1484*-141</f>
        <v>12.44676549865229</v>
      </c>
    </row>
    <row r="357" spans="1:9" ht="13.5">
      <c r="A357" s="1">
        <v>1</v>
      </c>
      <c r="B357" s="2" t="s">
        <v>354</v>
      </c>
      <c r="C357" s="3">
        <v>33</v>
      </c>
      <c r="D357" s="3"/>
      <c r="E357" s="3">
        <v>2</v>
      </c>
      <c r="F357" s="3">
        <f t="shared" si="26"/>
        <v>31</v>
      </c>
      <c r="G357" s="3">
        <v>31</v>
      </c>
      <c r="H357" s="16">
        <f t="shared" si="27"/>
        <v>0</v>
      </c>
      <c r="I357" s="21">
        <f>H357/-131*12</f>
        <v>0</v>
      </c>
    </row>
    <row r="358" spans="1:9" ht="13.5">
      <c r="A358" s="1">
        <v>2</v>
      </c>
      <c r="B358" s="2" t="s">
        <v>355</v>
      </c>
      <c r="C358" s="3">
        <v>82</v>
      </c>
      <c r="D358" s="3">
        <v>1</v>
      </c>
      <c r="E358" s="3"/>
      <c r="F358" s="3">
        <f t="shared" si="26"/>
        <v>81</v>
      </c>
      <c r="G358" s="3">
        <v>81</v>
      </c>
      <c r="H358" s="16">
        <f t="shared" si="27"/>
        <v>0</v>
      </c>
      <c r="I358" s="21">
        <f aca="true" t="shared" si="28" ref="I358:I384">H358/-131*12</f>
        <v>0</v>
      </c>
    </row>
    <row r="359" spans="1:9" ht="13.5">
      <c r="A359" s="1">
        <v>3</v>
      </c>
      <c r="B359" s="2" t="s">
        <v>356</v>
      </c>
      <c r="C359" s="3">
        <v>34</v>
      </c>
      <c r="D359" s="3"/>
      <c r="E359" s="3">
        <v>1</v>
      </c>
      <c r="F359" s="3">
        <f t="shared" si="26"/>
        <v>33</v>
      </c>
      <c r="G359" s="3">
        <v>33</v>
      </c>
      <c r="H359" s="16">
        <f t="shared" si="27"/>
        <v>0</v>
      </c>
      <c r="I359" s="21">
        <f t="shared" si="28"/>
        <v>0</v>
      </c>
    </row>
    <row r="360" spans="1:9" ht="13.5">
      <c r="A360" s="1">
        <v>4</v>
      </c>
      <c r="B360" s="2" t="s">
        <v>357</v>
      </c>
      <c r="C360" s="3">
        <v>81</v>
      </c>
      <c r="D360" s="3">
        <v>1</v>
      </c>
      <c r="E360" s="3">
        <v>1</v>
      </c>
      <c r="F360" s="3">
        <f t="shared" si="26"/>
        <v>79</v>
      </c>
      <c r="G360" s="3">
        <v>79</v>
      </c>
      <c r="H360" s="16">
        <f t="shared" si="27"/>
        <v>0</v>
      </c>
      <c r="I360" s="21">
        <f t="shared" si="28"/>
        <v>0</v>
      </c>
    </row>
    <row r="361" spans="1:9" ht="13.5">
      <c r="A361" s="1">
        <v>5</v>
      </c>
      <c r="B361" s="2" t="s">
        <v>358</v>
      </c>
      <c r="C361" s="3">
        <v>30</v>
      </c>
      <c r="D361" s="3"/>
      <c r="E361" s="3"/>
      <c r="F361" s="3">
        <f t="shared" si="26"/>
        <v>30</v>
      </c>
      <c r="G361" s="3">
        <v>30</v>
      </c>
      <c r="H361" s="16">
        <f t="shared" si="27"/>
        <v>0</v>
      </c>
      <c r="I361" s="21">
        <f t="shared" si="28"/>
        <v>0</v>
      </c>
    </row>
    <row r="362" spans="1:9" ht="13.5">
      <c r="A362" s="1">
        <v>6</v>
      </c>
      <c r="B362" s="2" t="s">
        <v>359</v>
      </c>
      <c r="C362" s="3">
        <v>102</v>
      </c>
      <c r="D362" s="3"/>
      <c r="E362" s="3"/>
      <c r="F362" s="3">
        <f t="shared" si="26"/>
        <v>102</v>
      </c>
      <c r="G362" s="3">
        <v>102</v>
      </c>
      <c r="H362" s="16">
        <f t="shared" si="27"/>
        <v>0</v>
      </c>
      <c r="I362" s="21">
        <f t="shared" si="28"/>
        <v>0</v>
      </c>
    </row>
    <row r="363" spans="1:9" ht="13.5">
      <c r="A363" s="1">
        <v>7</v>
      </c>
      <c r="B363" s="2" t="s">
        <v>360</v>
      </c>
      <c r="C363" s="3">
        <v>64</v>
      </c>
      <c r="D363" s="3">
        <v>1</v>
      </c>
      <c r="E363" s="3"/>
      <c r="F363" s="3">
        <f t="shared" si="26"/>
        <v>63</v>
      </c>
      <c r="G363" s="3">
        <v>63</v>
      </c>
      <c r="H363" s="16">
        <f t="shared" si="27"/>
        <v>0</v>
      </c>
      <c r="I363" s="21">
        <f t="shared" si="28"/>
        <v>0</v>
      </c>
    </row>
    <row r="364" spans="1:9" ht="13.5">
      <c r="A364" s="1">
        <v>8</v>
      </c>
      <c r="B364" s="2" t="s">
        <v>361</v>
      </c>
      <c r="C364" s="3">
        <v>46</v>
      </c>
      <c r="D364" s="3">
        <v>2</v>
      </c>
      <c r="E364" s="3">
        <v>1</v>
      </c>
      <c r="F364" s="3">
        <f t="shared" si="26"/>
        <v>43</v>
      </c>
      <c r="G364" s="3">
        <v>43</v>
      </c>
      <c r="H364" s="16">
        <f t="shared" si="27"/>
        <v>0</v>
      </c>
      <c r="I364" s="21">
        <f t="shared" si="28"/>
        <v>0</v>
      </c>
    </row>
    <row r="365" spans="1:9" ht="13.5">
      <c r="A365" s="1">
        <v>9</v>
      </c>
      <c r="B365" s="2" t="s">
        <v>362</v>
      </c>
      <c r="C365" s="3">
        <v>29</v>
      </c>
      <c r="D365" s="3"/>
      <c r="E365" s="3"/>
      <c r="F365" s="3">
        <f t="shared" si="26"/>
        <v>29</v>
      </c>
      <c r="G365" s="3">
        <v>54</v>
      </c>
      <c r="H365" s="16">
        <f t="shared" si="27"/>
        <v>-25</v>
      </c>
      <c r="I365" s="21">
        <f t="shared" si="28"/>
        <v>2.290076335877863</v>
      </c>
    </row>
    <row r="366" spans="1:9" ht="13.5">
      <c r="A366" s="1">
        <v>10</v>
      </c>
      <c r="B366" s="2" t="s">
        <v>363</v>
      </c>
      <c r="C366" s="3">
        <v>18</v>
      </c>
      <c r="D366" s="3"/>
      <c r="E366" s="3"/>
      <c r="F366" s="3">
        <f t="shared" si="26"/>
        <v>18</v>
      </c>
      <c r="G366" s="3">
        <v>18</v>
      </c>
      <c r="H366" s="16">
        <f t="shared" si="27"/>
        <v>0</v>
      </c>
      <c r="I366" s="21">
        <f t="shared" si="28"/>
        <v>0</v>
      </c>
    </row>
    <row r="367" spans="1:9" ht="13.5">
      <c r="A367" s="1">
        <v>11</v>
      </c>
      <c r="B367" s="2" t="s">
        <v>364</v>
      </c>
      <c r="C367" s="3">
        <v>263</v>
      </c>
      <c r="D367" s="3"/>
      <c r="E367" s="3">
        <v>4</v>
      </c>
      <c r="F367" s="3">
        <f t="shared" si="26"/>
        <v>259</v>
      </c>
      <c r="G367" s="3">
        <v>259</v>
      </c>
      <c r="H367" s="16">
        <f t="shared" si="27"/>
        <v>0</v>
      </c>
      <c r="I367" s="21">
        <f t="shared" si="28"/>
        <v>0</v>
      </c>
    </row>
    <row r="368" spans="1:9" ht="13.5">
      <c r="A368" s="1">
        <v>12</v>
      </c>
      <c r="B368" s="2" t="s">
        <v>365</v>
      </c>
      <c r="C368" s="3">
        <v>80</v>
      </c>
      <c r="D368" s="3"/>
      <c r="E368" s="3"/>
      <c r="F368" s="3">
        <f t="shared" si="26"/>
        <v>80</v>
      </c>
      <c r="G368" s="3">
        <v>80</v>
      </c>
      <c r="H368" s="16">
        <v>0</v>
      </c>
      <c r="I368" s="21">
        <f t="shared" si="28"/>
        <v>0</v>
      </c>
    </row>
    <row r="369" spans="1:9" ht="13.5">
      <c r="A369" s="1">
        <v>13</v>
      </c>
      <c r="B369" s="2" t="s">
        <v>366</v>
      </c>
      <c r="C369" s="3">
        <v>128</v>
      </c>
      <c r="D369" s="3"/>
      <c r="E369" s="3"/>
      <c r="F369" s="3">
        <f t="shared" si="26"/>
        <v>128</v>
      </c>
      <c r="G369" s="3">
        <v>128</v>
      </c>
      <c r="H369" s="16">
        <v>0</v>
      </c>
      <c r="I369" s="21">
        <f t="shared" si="28"/>
        <v>0</v>
      </c>
    </row>
    <row r="370" spans="1:9" ht="13.5">
      <c r="A370" s="1">
        <v>14</v>
      </c>
      <c r="B370" s="2" t="s">
        <v>367</v>
      </c>
      <c r="C370" s="3">
        <v>60</v>
      </c>
      <c r="D370" s="3"/>
      <c r="E370" s="3"/>
      <c r="F370" s="3">
        <f t="shared" si="26"/>
        <v>60</v>
      </c>
      <c r="G370" s="3">
        <v>60</v>
      </c>
      <c r="H370" s="16">
        <v>0</v>
      </c>
      <c r="I370" s="21">
        <f t="shared" si="28"/>
        <v>0</v>
      </c>
    </row>
    <row r="371" spans="1:9" ht="13.5">
      <c r="A371" s="1">
        <v>15</v>
      </c>
      <c r="B371" s="2" t="s">
        <v>368</v>
      </c>
      <c r="C371" s="3">
        <v>60</v>
      </c>
      <c r="D371" s="3"/>
      <c r="E371" s="3"/>
      <c r="F371" s="3">
        <f t="shared" si="26"/>
        <v>60</v>
      </c>
      <c r="G371" s="3">
        <v>60</v>
      </c>
      <c r="H371" s="16">
        <v>0</v>
      </c>
      <c r="I371" s="21">
        <f t="shared" si="28"/>
        <v>0</v>
      </c>
    </row>
    <row r="372" spans="1:9" ht="13.5">
      <c r="A372" s="1">
        <v>16</v>
      </c>
      <c r="B372" s="2" t="s">
        <v>369</v>
      </c>
      <c r="C372" s="3">
        <v>46</v>
      </c>
      <c r="D372" s="3"/>
      <c r="E372" s="3"/>
      <c r="F372" s="3">
        <f t="shared" si="26"/>
        <v>46</v>
      </c>
      <c r="G372" s="3">
        <v>46</v>
      </c>
      <c r="H372" s="16">
        <v>0</v>
      </c>
      <c r="I372" s="21">
        <f t="shared" si="28"/>
        <v>0</v>
      </c>
    </row>
    <row r="373" spans="1:9" ht="13.5">
      <c r="A373" s="1">
        <v>17</v>
      </c>
      <c r="B373" s="2" t="s">
        <v>370</v>
      </c>
      <c r="C373" s="3">
        <v>13</v>
      </c>
      <c r="D373" s="3">
        <v>1</v>
      </c>
      <c r="E373" s="3"/>
      <c r="F373" s="3">
        <f t="shared" si="26"/>
        <v>12</v>
      </c>
      <c r="G373" s="3">
        <v>12</v>
      </c>
      <c r="H373" s="16">
        <v>0</v>
      </c>
      <c r="I373" s="21">
        <f t="shared" si="28"/>
        <v>0</v>
      </c>
    </row>
    <row r="374" spans="1:9" ht="13.5">
      <c r="A374" s="1">
        <v>18</v>
      </c>
      <c r="B374" s="2" t="s">
        <v>371</v>
      </c>
      <c r="C374" s="3">
        <v>70</v>
      </c>
      <c r="D374" s="3"/>
      <c r="E374" s="3">
        <v>1</v>
      </c>
      <c r="F374" s="3">
        <f t="shared" si="26"/>
        <v>69</v>
      </c>
      <c r="G374" s="3">
        <v>69</v>
      </c>
      <c r="H374" s="16">
        <f t="shared" si="27"/>
        <v>0</v>
      </c>
      <c r="I374" s="21">
        <f t="shared" si="28"/>
        <v>0</v>
      </c>
    </row>
    <row r="375" spans="1:9" ht="13.5">
      <c r="A375" s="1">
        <v>19</v>
      </c>
      <c r="B375" s="2" t="s">
        <v>372</v>
      </c>
      <c r="C375" s="3">
        <v>70</v>
      </c>
      <c r="D375" s="3"/>
      <c r="E375" s="3">
        <v>1</v>
      </c>
      <c r="F375" s="3">
        <f t="shared" si="26"/>
        <v>69</v>
      </c>
      <c r="G375" s="3">
        <v>72</v>
      </c>
      <c r="H375" s="16">
        <f t="shared" si="27"/>
        <v>-3</v>
      </c>
      <c r="I375" s="21">
        <v>1</v>
      </c>
    </row>
    <row r="376" spans="1:9" ht="13.5">
      <c r="A376" s="1">
        <v>20</v>
      </c>
      <c r="B376" s="2" t="s">
        <v>373</v>
      </c>
      <c r="C376" s="3">
        <v>149</v>
      </c>
      <c r="D376" s="3"/>
      <c r="E376" s="3"/>
      <c r="F376" s="3">
        <f t="shared" si="26"/>
        <v>149</v>
      </c>
      <c r="G376" s="3">
        <v>149</v>
      </c>
      <c r="H376" s="16">
        <v>0</v>
      </c>
      <c r="I376" s="21">
        <f t="shared" si="28"/>
        <v>0</v>
      </c>
    </row>
    <row r="377" spans="1:9" ht="13.5">
      <c r="A377" s="1">
        <v>21</v>
      </c>
      <c r="B377" s="2" t="s">
        <v>374</v>
      </c>
      <c r="C377" s="3">
        <v>55</v>
      </c>
      <c r="D377" s="3"/>
      <c r="E377" s="3"/>
      <c r="F377" s="3">
        <f t="shared" si="26"/>
        <v>55</v>
      </c>
      <c r="G377" s="3">
        <v>158</v>
      </c>
      <c r="H377" s="16">
        <f t="shared" si="27"/>
        <v>-103</v>
      </c>
      <c r="I377" s="21">
        <f t="shared" si="28"/>
        <v>9.435114503816793</v>
      </c>
    </row>
    <row r="378" spans="1:9" ht="13.5">
      <c r="A378" s="1">
        <v>22</v>
      </c>
      <c r="B378" s="2" t="s">
        <v>375</v>
      </c>
      <c r="C378" s="3">
        <v>34</v>
      </c>
      <c r="D378" s="3">
        <v>1</v>
      </c>
      <c r="E378" s="3"/>
      <c r="F378" s="3">
        <f t="shared" si="26"/>
        <v>33</v>
      </c>
      <c r="G378" s="3">
        <v>33</v>
      </c>
      <c r="H378" s="16">
        <v>0</v>
      </c>
      <c r="I378" s="21">
        <f t="shared" si="28"/>
        <v>0</v>
      </c>
    </row>
    <row r="379" spans="1:9" ht="13.5">
      <c r="A379" s="1">
        <v>23</v>
      </c>
      <c r="B379" s="2" t="s">
        <v>376</v>
      </c>
      <c r="C379" s="3">
        <v>3</v>
      </c>
      <c r="D379" s="3"/>
      <c r="E379" s="3"/>
      <c r="F379" s="3">
        <f t="shared" si="26"/>
        <v>3</v>
      </c>
      <c r="G379" s="3">
        <v>3</v>
      </c>
      <c r="H379" s="16">
        <f t="shared" si="27"/>
        <v>0</v>
      </c>
      <c r="I379" s="21">
        <f t="shared" si="28"/>
        <v>0</v>
      </c>
    </row>
    <row r="380" spans="1:9" ht="13.5">
      <c r="A380" s="1">
        <v>24</v>
      </c>
      <c r="B380" s="2" t="s">
        <v>377</v>
      </c>
      <c r="C380" s="3">
        <v>1</v>
      </c>
      <c r="D380" s="3"/>
      <c r="E380" s="3"/>
      <c r="F380" s="3">
        <f t="shared" si="26"/>
        <v>1</v>
      </c>
      <c r="G380" s="3">
        <v>1</v>
      </c>
      <c r="H380" s="16">
        <f t="shared" si="27"/>
        <v>0</v>
      </c>
      <c r="I380" s="21">
        <f t="shared" si="28"/>
        <v>0</v>
      </c>
    </row>
    <row r="381" spans="1:9" ht="13.5">
      <c r="A381" s="1">
        <v>25</v>
      </c>
      <c r="B381" s="2" t="s">
        <v>378</v>
      </c>
      <c r="C381" s="3"/>
      <c r="D381" s="3"/>
      <c r="E381" s="3"/>
      <c r="F381" s="3">
        <f t="shared" si="26"/>
        <v>0</v>
      </c>
      <c r="G381" s="3"/>
      <c r="H381" s="16">
        <f t="shared" si="27"/>
        <v>0</v>
      </c>
      <c r="I381" s="21">
        <f t="shared" si="28"/>
        <v>0</v>
      </c>
    </row>
    <row r="382" spans="1:9" ht="13.5">
      <c r="A382" s="1">
        <v>26</v>
      </c>
      <c r="B382" s="2" t="s">
        <v>379</v>
      </c>
      <c r="C382" s="3">
        <v>367</v>
      </c>
      <c r="D382" s="3">
        <v>1</v>
      </c>
      <c r="E382" s="3">
        <v>5</v>
      </c>
      <c r="F382" s="3">
        <f t="shared" si="26"/>
        <v>361</v>
      </c>
      <c r="G382" s="3">
        <v>361</v>
      </c>
      <c r="H382" s="16">
        <v>0</v>
      </c>
      <c r="I382" s="21">
        <f t="shared" si="28"/>
        <v>0</v>
      </c>
    </row>
    <row r="383" spans="1:9" ht="13.5">
      <c r="A383" s="1">
        <v>27</v>
      </c>
      <c r="B383" s="2" t="s">
        <v>380</v>
      </c>
      <c r="C383" s="3">
        <v>61</v>
      </c>
      <c r="D383" s="3"/>
      <c r="E383" s="3"/>
      <c r="F383" s="3">
        <f t="shared" si="26"/>
        <v>61</v>
      </c>
      <c r="G383" s="3">
        <v>61</v>
      </c>
      <c r="H383" s="16">
        <v>0</v>
      </c>
      <c r="I383" s="21">
        <f t="shared" si="28"/>
        <v>0</v>
      </c>
    </row>
    <row r="384" spans="1:9" ht="13.5">
      <c r="A384" s="1">
        <v>28</v>
      </c>
      <c r="B384" s="2" t="s">
        <v>381</v>
      </c>
      <c r="C384" s="3">
        <v>45</v>
      </c>
      <c r="D384" s="3"/>
      <c r="E384" s="3">
        <v>1</v>
      </c>
      <c r="F384" s="3">
        <f t="shared" si="26"/>
        <v>44</v>
      </c>
      <c r="G384" s="3">
        <v>44</v>
      </c>
      <c r="H384" s="16">
        <f t="shared" si="27"/>
        <v>0</v>
      </c>
      <c r="I384" s="21">
        <f t="shared" si="28"/>
        <v>0</v>
      </c>
    </row>
    <row r="385" spans="1:9" ht="13.5">
      <c r="A385" s="14" t="s">
        <v>474</v>
      </c>
      <c r="B385" s="15" t="s">
        <v>382</v>
      </c>
      <c r="C385" s="16">
        <f>SUM(C386:C391)</f>
        <v>605</v>
      </c>
      <c r="D385" s="16">
        <f>SUM(D386:D391)</f>
        <v>2</v>
      </c>
      <c r="E385" s="16">
        <f>SUM(E386:E391)</f>
        <v>3</v>
      </c>
      <c r="F385" s="16">
        <f t="shared" si="26"/>
        <v>600</v>
      </c>
      <c r="G385" s="16">
        <f>SUM(G386:G391)</f>
        <v>600</v>
      </c>
      <c r="H385" s="16">
        <f>SUM(H386:H391)</f>
        <v>0</v>
      </c>
      <c r="I385" s="23">
        <f>H385/1484*-547</f>
        <v>0</v>
      </c>
    </row>
    <row r="386" spans="1:9" ht="13.5">
      <c r="A386" s="1">
        <v>1</v>
      </c>
      <c r="B386" s="2" t="s">
        <v>383</v>
      </c>
      <c r="C386" s="3">
        <v>86</v>
      </c>
      <c r="D386" s="3"/>
      <c r="E386" s="3"/>
      <c r="F386" s="3">
        <f t="shared" si="26"/>
        <v>86</v>
      </c>
      <c r="G386" s="3">
        <v>86</v>
      </c>
      <c r="H386" s="16">
        <v>0</v>
      </c>
      <c r="I386" s="21">
        <v>0</v>
      </c>
    </row>
    <row r="387" spans="1:9" ht="13.5">
      <c r="A387" s="1">
        <v>2</v>
      </c>
      <c r="B387" s="2" t="s">
        <v>384</v>
      </c>
      <c r="C387" s="3">
        <v>84</v>
      </c>
      <c r="D387" s="3"/>
      <c r="E387" s="3"/>
      <c r="F387" s="3">
        <f t="shared" si="26"/>
        <v>84</v>
      </c>
      <c r="G387" s="3">
        <v>84</v>
      </c>
      <c r="H387" s="16">
        <v>0</v>
      </c>
      <c r="I387" s="21">
        <v>0</v>
      </c>
    </row>
    <row r="388" spans="1:9" ht="13.5">
      <c r="A388" s="1">
        <v>3</v>
      </c>
      <c r="B388" s="2" t="s">
        <v>385</v>
      </c>
      <c r="C388" s="3">
        <v>169</v>
      </c>
      <c r="D388" s="3"/>
      <c r="E388" s="3"/>
      <c r="F388" s="3">
        <f t="shared" si="26"/>
        <v>169</v>
      </c>
      <c r="G388" s="3">
        <v>169</v>
      </c>
      <c r="H388" s="16">
        <v>0</v>
      </c>
      <c r="I388" s="21">
        <v>0</v>
      </c>
    </row>
    <row r="389" spans="1:9" ht="13.5">
      <c r="A389" s="1">
        <v>4</v>
      </c>
      <c r="B389" s="2" t="s">
        <v>386</v>
      </c>
      <c r="C389" s="3">
        <v>56</v>
      </c>
      <c r="D389" s="3">
        <v>1</v>
      </c>
      <c r="E389" s="3"/>
      <c r="F389" s="3">
        <f t="shared" si="26"/>
        <v>55</v>
      </c>
      <c r="G389" s="3">
        <v>55</v>
      </c>
      <c r="H389" s="16">
        <v>0</v>
      </c>
      <c r="I389" s="21">
        <v>0</v>
      </c>
    </row>
    <row r="390" spans="1:9" ht="13.5">
      <c r="A390" s="1">
        <v>5</v>
      </c>
      <c r="B390" s="2" t="s">
        <v>387</v>
      </c>
      <c r="C390" s="3">
        <v>142</v>
      </c>
      <c r="D390" s="3">
        <v>1</v>
      </c>
      <c r="E390" s="3">
        <v>1</v>
      </c>
      <c r="F390" s="3">
        <f t="shared" si="26"/>
        <v>140</v>
      </c>
      <c r="G390" s="3">
        <v>140</v>
      </c>
      <c r="H390" s="16">
        <v>0</v>
      </c>
      <c r="I390" s="21">
        <v>0</v>
      </c>
    </row>
    <row r="391" spans="1:9" ht="13.5">
      <c r="A391" s="1">
        <v>6</v>
      </c>
      <c r="B391" s="2" t="s">
        <v>388</v>
      </c>
      <c r="C391" s="3">
        <v>68</v>
      </c>
      <c r="D391" s="3"/>
      <c r="E391" s="3">
        <v>2</v>
      </c>
      <c r="F391" s="3">
        <f aca="true" t="shared" si="29" ref="F391:F441">C391-E391-D391</f>
        <v>66</v>
      </c>
      <c r="G391" s="3">
        <v>66</v>
      </c>
      <c r="H391" s="16">
        <f aca="true" t="shared" si="30" ref="H391:H441">F391-G391</f>
        <v>0</v>
      </c>
      <c r="I391" s="21">
        <v>0</v>
      </c>
    </row>
    <row r="392" spans="1:9" ht="13.5">
      <c r="A392" s="14" t="s">
        <v>475</v>
      </c>
      <c r="B392" s="15" t="s">
        <v>389</v>
      </c>
      <c r="C392" s="16">
        <f>SUM(C393:C397)</f>
        <v>464</v>
      </c>
      <c r="D392" s="16">
        <f>SUM(D393:D397)</f>
        <v>0</v>
      </c>
      <c r="E392" s="16">
        <f>SUM(E393:E397)</f>
        <v>2</v>
      </c>
      <c r="F392" s="16">
        <f t="shared" si="29"/>
        <v>462</v>
      </c>
      <c r="G392" s="16">
        <f>SUM(G393:G397)</f>
        <v>486</v>
      </c>
      <c r="H392" s="16">
        <f>SUM(H393:H397)</f>
        <v>-24</v>
      </c>
      <c r="I392" s="23">
        <f>H392/1484*-141</f>
        <v>2.280323450134771</v>
      </c>
    </row>
    <row r="393" spans="1:9" ht="13.5">
      <c r="A393" s="1">
        <v>1</v>
      </c>
      <c r="B393" s="2" t="s">
        <v>390</v>
      </c>
      <c r="C393" s="3">
        <v>22</v>
      </c>
      <c r="D393" s="3"/>
      <c r="E393" s="3"/>
      <c r="F393" s="3">
        <f t="shared" si="29"/>
        <v>22</v>
      </c>
      <c r="G393" s="3">
        <v>46</v>
      </c>
      <c r="H393" s="16">
        <f t="shared" si="30"/>
        <v>-24</v>
      </c>
      <c r="I393" s="21">
        <v>2</v>
      </c>
    </row>
    <row r="394" spans="1:9" ht="13.5">
      <c r="A394" s="1">
        <v>2</v>
      </c>
      <c r="B394" s="2" t="s">
        <v>391</v>
      </c>
      <c r="C394" s="3">
        <v>222</v>
      </c>
      <c r="D394" s="3"/>
      <c r="E394" s="3">
        <v>1</v>
      </c>
      <c r="F394" s="3">
        <f t="shared" si="29"/>
        <v>221</v>
      </c>
      <c r="G394" s="3">
        <v>221</v>
      </c>
      <c r="H394" s="16">
        <v>0</v>
      </c>
      <c r="I394" s="21">
        <v>0</v>
      </c>
    </row>
    <row r="395" spans="1:9" ht="13.5">
      <c r="A395" s="1">
        <v>3</v>
      </c>
      <c r="B395" s="2" t="s">
        <v>392</v>
      </c>
      <c r="C395" s="3">
        <v>21</v>
      </c>
      <c r="D395" s="3"/>
      <c r="E395" s="3"/>
      <c r="F395" s="3">
        <f t="shared" si="29"/>
        <v>21</v>
      </c>
      <c r="G395" s="3">
        <v>21</v>
      </c>
      <c r="H395" s="16">
        <f t="shared" si="30"/>
        <v>0</v>
      </c>
      <c r="I395" s="21">
        <v>0</v>
      </c>
    </row>
    <row r="396" spans="1:9" ht="13.5">
      <c r="A396" s="1">
        <v>4</v>
      </c>
      <c r="B396" s="2" t="s">
        <v>393</v>
      </c>
      <c r="C396" s="3">
        <v>75</v>
      </c>
      <c r="D396" s="3"/>
      <c r="E396" s="3"/>
      <c r="F396" s="3">
        <f t="shared" si="29"/>
        <v>75</v>
      </c>
      <c r="G396" s="3">
        <v>75</v>
      </c>
      <c r="H396" s="16">
        <f t="shared" si="30"/>
        <v>0</v>
      </c>
      <c r="I396" s="21">
        <v>0</v>
      </c>
    </row>
    <row r="397" spans="1:9" ht="13.5">
      <c r="A397" s="1">
        <v>5</v>
      </c>
      <c r="B397" s="2" t="s">
        <v>394</v>
      </c>
      <c r="C397" s="3">
        <v>124</v>
      </c>
      <c r="D397" s="3"/>
      <c r="E397" s="3">
        <v>1</v>
      </c>
      <c r="F397" s="3">
        <f t="shared" si="29"/>
        <v>123</v>
      </c>
      <c r="G397" s="3">
        <v>123</v>
      </c>
      <c r="H397" s="16">
        <v>0</v>
      </c>
      <c r="I397" s="21">
        <v>0</v>
      </c>
    </row>
    <row r="398" spans="1:9" ht="13.5">
      <c r="A398" s="14" t="s">
        <v>476</v>
      </c>
      <c r="B398" s="15" t="s">
        <v>395</v>
      </c>
      <c r="C398" s="16">
        <f>SUM(C399:C403)</f>
        <v>280</v>
      </c>
      <c r="D398" s="16">
        <f>SUM(D399:D403)</f>
        <v>4</v>
      </c>
      <c r="E398" s="16">
        <f>SUM(E399:E403)</f>
        <v>5</v>
      </c>
      <c r="F398" s="16">
        <f t="shared" si="29"/>
        <v>271</v>
      </c>
      <c r="G398" s="16">
        <f>SUM(G399:G403)</f>
        <v>271</v>
      </c>
      <c r="H398" s="16">
        <f>SUM(H399:H403)</f>
        <v>0</v>
      </c>
      <c r="I398" s="21">
        <f>H398/1484*-578</f>
        <v>0</v>
      </c>
    </row>
    <row r="399" spans="1:9" ht="13.5">
      <c r="A399" s="1">
        <v>1</v>
      </c>
      <c r="B399" s="2" t="s">
        <v>396</v>
      </c>
      <c r="C399" s="3">
        <v>38</v>
      </c>
      <c r="D399" s="3"/>
      <c r="E399" s="3"/>
      <c r="F399" s="3">
        <f t="shared" si="29"/>
        <v>38</v>
      </c>
      <c r="G399" s="3">
        <v>38</v>
      </c>
      <c r="H399" s="16">
        <f t="shared" si="30"/>
        <v>0</v>
      </c>
      <c r="I399" s="21">
        <v>0</v>
      </c>
    </row>
    <row r="400" spans="1:9" ht="13.5">
      <c r="A400" s="1">
        <v>2</v>
      </c>
      <c r="B400" s="2" t="s">
        <v>397</v>
      </c>
      <c r="C400" s="3">
        <v>78</v>
      </c>
      <c r="D400" s="3"/>
      <c r="E400" s="3"/>
      <c r="F400" s="3">
        <f t="shared" si="29"/>
        <v>78</v>
      </c>
      <c r="G400" s="3">
        <v>78</v>
      </c>
      <c r="H400" s="16">
        <v>0</v>
      </c>
      <c r="I400" s="21">
        <v>0</v>
      </c>
    </row>
    <row r="401" spans="1:9" ht="13.5">
      <c r="A401" s="1">
        <v>3</v>
      </c>
      <c r="B401" s="2" t="s">
        <v>398</v>
      </c>
      <c r="C401" s="3">
        <v>3</v>
      </c>
      <c r="D401" s="3"/>
      <c r="E401" s="3"/>
      <c r="F401" s="3">
        <f t="shared" si="29"/>
        <v>3</v>
      </c>
      <c r="G401" s="3">
        <v>3</v>
      </c>
      <c r="H401" s="16">
        <f t="shared" si="30"/>
        <v>0</v>
      </c>
      <c r="I401" s="21">
        <v>0</v>
      </c>
    </row>
    <row r="402" spans="1:9" ht="13.5">
      <c r="A402" s="1">
        <v>4</v>
      </c>
      <c r="B402" s="2" t="s">
        <v>399</v>
      </c>
      <c r="C402" s="3">
        <v>24</v>
      </c>
      <c r="D402" s="3"/>
      <c r="E402" s="3">
        <v>1</v>
      </c>
      <c r="F402" s="3">
        <f t="shared" si="29"/>
        <v>23</v>
      </c>
      <c r="G402" s="3">
        <v>23</v>
      </c>
      <c r="H402" s="16">
        <f t="shared" si="30"/>
        <v>0</v>
      </c>
      <c r="I402" s="21">
        <v>0</v>
      </c>
    </row>
    <row r="403" spans="1:9" ht="13.5">
      <c r="A403" s="1">
        <v>5</v>
      </c>
      <c r="B403" s="2" t="s">
        <v>400</v>
      </c>
      <c r="C403" s="3">
        <v>137</v>
      </c>
      <c r="D403" s="3">
        <v>4</v>
      </c>
      <c r="E403" s="3">
        <v>4</v>
      </c>
      <c r="F403" s="3">
        <f t="shared" si="29"/>
        <v>129</v>
      </c>
      <c r="G403" s="3">
        <v>129</v>
      </c>
      <c r="H403" s="16">
        <v>0</v>
      </c>
      <c r="I403" s="21">
        <v>0</v>
      </c>
    </row>
    <row r="404" spans="1:9" ht="13.5">
      <c r="A404" s="14" t="s">
        <v>477</v>
      </c>
      <c r="B404" s="15" t="s">
        <v>401</v>
      </c>
      <c r="C404" s="16">
        <f>SUM(C405:C432)</f>
        <v>344</v>
      </c>
      <c r="D404" s="16">
        <f>SUM(D405:D432)</f>
        <v>1</v>
      </c>
      <c r="E404" s="16">
        <f>SUM(E405:E432)</f>
        <v>2</v>
      </c>
      <c r="F404" s="16">
        <f t="shared" si="29"/>
        <v>341</v>
      </c>
      <c r="G404" s="16">
        <f>SUM(G405:G432)</f>
        <v>363</v>
      </c>
      <c r="H404" s="16">
        <f>SUM(H405:H432)</f>
        <v>-22</v>
      </c>
      <c r="I404" s="23">
        <f>H404/1484*-141</f>
        <v>2.0902964959568733</v>
      </c>
    </row>
    <row r="405" spans="1:9" ht="13.5">
      <c r="A405" s="1">
        <v>1</v>
      </c>
      <c r="B405" s="2" t="s">
        <v>402</v>
      </c>
      <c r="C405" s="4">
        <v>34</v>
      </c>
      <c r="D405" s="4"/>
      <c r="E405" s="4"/>
      <c r="F405" s="4">
        <f t="shared" si="29"/>
        <v>34</v>
      </c>
      <c r="G405" s="18">
        <v>34</v>
      </c>
      <c r="H405" s="16">
        <v>0</v>
      </c>
      <c r="I405" s="21">
        <f>H405/-22*8</f>
        <v>0</v>
      </c>
    </row>
    <row r="406" spans="1:9" ht="13.5">
      <c r="A406" s="1">
        <v>2</v>
      </c>
      <c r="B406" s="2" t="s">
        <v>403</v>
      </c>
      <c r="C406" s="3">
        <v>4</v>
      </c>
      <c r="D406" s="3"/>
      <c r="E406" s="3"/>
      <c r="F406" s="3">
        <f t="shared" si="29"/>
        <v>4</v>
      </c>
      <c r="G406" s="18">
        <v>4</v>
      </c>
      <c r="H406" s="16">
        <f t="shared" si="30"/>
        <v>0</v>
      </c>
      <c r="I406" s="21">
        <f aca="true" t="shared" si="31" ref="I406:I432">H406/-22*8</f>
        <v>0</v>
      </c>
    </row>
    <row r="407" spans="1:9" ht="13.5">
      <c r="A407" s="1">
        <v>3</v>
      </c>
      <c r="B407" s="2" t="s">
        <v>404</v>
      </c>
      <c r="C407" s="3">
        <v>14</v>
      </c>
      <c r="D407" s="3"/>
      <c r="E407" s="3">
        <v>1</v>
      </c>
      <c r="F407" s="3">
        <f t="shared" si="29"/>
        <v>13</v>
      </c>
      <c r="G407" s="18">
        <v>13</v>
      </c>
      <c r="H407" s="16">
        <f t="shared" si="30"/>
        <v>0</v>
      </c>
      <c r="I407" s="21">
        <f>H407/-22*2</f>
        <v>0</v>
      </c>
    </row>
    <row r="408" spans="1:9" ht="13.5">
      <c r="A408" s="1">
        <v>4</v>
      </c>
      <c r="B408" s="2" t="s">
        <v>405</v>
      </c>
      <c r="C408" s="3">
        <v>57</v>
      </c>
      <c r="D408" s="3"/>
      <c r="E408" s="3"/>
      <c r="F408" s="3">
        <f t="shared" si="29"/>
        <v>57</v>
      </c>
      <c r="G408" s="18">
        <v>57</v>
      </c>
      <c r="H408" s="16">
        <f t="shared" si="30"/>
        <v>0</v>
      </c>
      <c r="I408" s="21">
        <f>H408/-22*2</f>
        <v>0</v>
      </c>
    </row>
    <row r="409" spans="1:9" ht="13.5">
      <c r="A409" s="1">
        <v>5</v>
      </c>
      <c r="B409" s="2" t="s">
        <v>406</v>
      </c>
      <c r="C409" s="3">
        <v>9</v>
      </c>
      <c r="D409" s="3"/>
      <c r="E409" s="3"/>
      <c r="F409" s="3">
        <f t="shared" si="29"/>
        <v>9</v>
      </c>
      <c r="G409" s="18">
        <v>15</v>
      </c>
      <c r="H409" s="16">
        <f t="shared" si="30"/>
        <v>-6</v>
      </c>
      <c r="I409" s="21">
        <f>H409/-22*2</f>
        <v>0.5454545454545454</v>
      </c>
    </row>
    <row r="410" spans="1:9" ht="13.5">
      <c r="A410" s="1">
        <v>6</v>
      </c>
      <c r="B410" s="2" t="s">
        <v>407</v>
      </c>
      <c r="C410" s="3">
        <v>82</v>
      </c>
      <c r="D410" s="3"/>
      <c r="E410" s="3"/>
      <c r="F410" s="3">
        <f t="shared" si="29"/>
        <v>82</v>
      </c>
      <c r="G410" s="18">
        <v>82</v>
      </c>
      <c r="H410" s="16">
        <v>0</v>
      </c>
      <c r="I410" s="21">
        <f>H410/-22*2</f>
        <v>0</v>
      </c>
    </row>
    <row r="411" spans="1:9" ht="13.5">
      <c r="A411" s="1">
        <v>7</v>
      </c>
      <c r="B411" s="2" t="s">
        <v>408</v>
      </c>
      <c r="C411" s="3">
        <v>19</v>
      </c>
      <c r="D411" s="3"/>
      <c r="E411" s="3"/>
      <c r="F411" s="3">
        <f t="shared" si="29"/>
        <v>19</v>
      </c>
      <c r="G411" s="18">
        <v>35</v>
      </c>
      <c r="H411" s="16">
        <f t="shared" si="30"/>
        <v>-16</v>
      </c>
      <c r="I411" s="21">
        <f>H411/-22*2</f>
        <v>1.4545454545454546</v>
      </c>
    </row>
    <row r="412" spans="1:9" ht="13.5">
      <c r="A412" s="1">
        <v>8</v>
      </c>
      <c r="B412" s="2" t="s">
        <v>409</v>
      </c>
      <c r="C412" s="3">
        <v>14</v>
      </c>
      <c r="D412" s="3"/>
      <c r="E412" s="3"/>
      <c r="F412" s="3">
        <f t="shared" si="29"/>
        <v>14</v>
      </c>
      <c r="G412" s="18">
        <v>14</v>
      </c>
      <c r="H412" s="16">
        <f t="shared" si="30"/>
        <v>0</v>
      </c>
      <c r="I412" s="21">
        <f t="shared" si="31"/>
        <v>0</v>
      </c>
    </row>
    <row r="413" spans="1:9" ht="13.5">
      <c r="A413" s="1">
        <v>9</v>
      </c>
      <c r="B413" s="2" t="s">
        <v>410</v>
      </c>
      <c r="C413" s="3">
        <v>26</v>
      </c>
      <c r="D413" s="3"/>
      <c r="E413" s="3"/>
      <c r="F413" s="3">
        <f t="shared" si="29"/>
        <v>26</v>
      </c>
      <c r="G413" s="18">
        <v>26</v>
      </c>
      <c r="H413" s="16">
        <f t="shared" si="30"/>
        <v>0</v>
      </c>
      <c r="I413" s="21">
        <f t="shared" si="31"/>
        <v>0</v>
      </c>
    </row>
    <row r="414" spans="1:9" ht="13.5">
      <c r="A414" s="1">
        <v>10</v>
      </c>
      <c r="B414" s="2" t="s">
        <v>411</v>
      </c>
      <c r="C414" s="3">
        <v>2</v>
      </c>
      <c r="D414" s="3"/>
      <c r="E414" s="3"/>
      <c r="F414" s="3">
        <f t="shared" si="29"/>
        <v>2</v>
      </c>
      <c r="G414" s="18">
        <v>2</v>
      </c>
      <c r="H414" s="16">
        <f t="shared" si="30"/>
        <v>0</v>
      </c>
      <c r="I414" s="21">
        <f t="shared" si="31"/>
        <v>0</v>
      </c>
    </row>
    <row r="415" spans="1:9" ht="13.5">
      <c r="A415" s="1">
        <v>11</v>
      </c>
      <c r="B415" s="2" t="s">
        <v>412</v>
      </c>
      <c r="C415" s="3">
        <v>3</v>
      </c>
      <c r="D415" s="3"/>
      <c r="E415" s="3"/>
      <c r="F415" s="3">
        <f t="shared" si="29"/>
        <v>3</v>
      </c>
      <c r="G415" s="18">
        <v>3</v>
      </c>
      <c r="H415" s="16">
        <f t="shared" si="30"/>
        <v>0</v>
      </c>
      <c r="I415" s="21">
        <f t="shared" si="31"/>
        <v>0</v>
      </c>
    </row>
    <row r="416" spans="1:9" ht="13.5">
      <c r="A416" s="1">
        <v>12</v>
      </c>
      <c r="B416" s="2" t="s">
        <v>413</v>
      </c>
      <c r="C416" s="3">
        <v>2</v>
      </c>
      <c r="D416" s="3"/>
      <c r="E416" s="3"/>
      <c r="F416" s="3">
        <f t="shared" si="29"/>
        <v>2</v>
      </c>
      <c r="G416" s="18">
        <v>2</v>
      </c>
      <c r="H416" s="16">
        <f t="shared" si="30"/>
        <v>0</v>
      </c>
      <c r="I416" s="21">
        <f t="shared" si="31"/>
        <v>0</v>
      </c>
    </row>
    <row r="417" spans="1:9" ht="13.5">
      <c r="A417" s="1">
        <v>13</v>
      </c>
      <c r="B417" s="2" t="s">
        <v>414</v>
      </c>
      <c r="C417" s="3">
        <v>1</v>
      </c>
      <c r="D417" s="3"/>
      <c r="E417" s="3"/>
      <c r="F417" s="3">
        <f t="shared" si="29"/>
        <v>1</v>
      </c>
      <c r="G417" s="3">
        <v>1</v>
      </c>
      <c r="H417" s="16">
        <f t="shared" si="30"/>
        <v>0</v>
      </c>
      <c r="I417" s="21">
        <f t="shared" si="31"/>
        <v>0</v>
      </c>
    </row>
    <row r="418" spans="1:9" ht="13.5">
      <c r="A418" s="1">
        <v>14</v>
      </c>
      <c r="B418" s="2" t="s">
        <v>415</v>
      </c>
      <c r="C418" s="3"/>
      <c r="D418" s="3"/>
      <c r="E418" s="3"/>
      <c r="F418" s="3">
        <f t="shared" si="29"/>
        <v>0</v>
      </c>
      <c r="G418" s="3">
        <v>0</v>
      </c>
      <c r="H418" s="16">
        <f t="shared" si="30"/>
        <v>0</v>
      </c>
      <c r="I418" s="21">
        <f t="shared" si="31"/>
        <v>0</v>
      </c>
    </row>
    <row r="419" spans="1:9" ht="13.5">
      <c r="A419" s="1">
        <v>15</v>
      </c>
      <c r="B419" s="2" t="s">
        <v>416</v>
      </c>
      <c r="C419" s="3">
        <v>1</v>
      </c>
      <c r="D419" s="3"/>
      <c r="E419" s="3"/>
      <c r="F419" s="3">
        <f t="shared" si="29"/>
        <v>1</v>
      </c>
      <c r="G419" s="3">
        <v>1</v>
      </c>
      <c r="H419" s="16">
        <f t="shared" si="30"/>
        <v>0</v>
      </c>
      <c r="I419" s="21">
        <f t="shared" si="31"/>
        <v>0</v>
      </c>
    </row>
    <row r="420" spans="1:9" ht="13.5">
      <c r="A420" s="1">
        <v>16</v>
      </c>
      <c r="B420" s="2" t="s">
        <v>417</v>
      </c>
      <c r="C420" s="3"/>
      <c r="D420" s="3"/>
      <c r="E420" s="3"/>
      <c r="F420" s="3">
        <f t="shared" si="29"/>
        <v>0</v>
      </c>
      <c r="G420" s="3">
        <v>0</v>
      </c>
      <c r="H420" s="16">
        <f t="shared" si="30"/>
        <v>0</v>
      </c>
      <c r="I420" s="21">
        <f t="shared" si="31"/>
        <v>0</v>
      </c>
    </row>
    <row r="421" spans="1:9" ht="13.5">
      <c r="A421" s="1">
        <v>17</v>
      </c>
      <c r="B421" s="2" t="s">
        <v>418</v>
      </c>
      <c r="C421" s="3">
        <v>1</v>
      </c>
      <c r="D421" s="3"/>
      <c r="E421" s="3"/>
      <c r="F421" s="3">
        <f t="shared" si="29"/>
        <v>1</v>
      </c>
      <c r="G421" s="3">
        <v>1</v>
      </c>
      <c r="H421" s="16">
        <f t="shared" si="30"/>
        <v>0</v>
      </c>
      <c r="I421" s="21">
        <f t="shared" si="31"/>
        <v>0</v>
      </c>
    </row>
    <row r="422" spans="1:9" ht="13.5">
      <c r="A422" s="1">
        <v>18</v>
      </c>
      <c r="B422" s="2" t="s">
        <v>419</v>
      </c>
      <c r="C422" s="3"/>
      <c r="D422" s="3"/>
      <c r="E422" s="3"/>
      <c r="F422" s="3">
        <f t="shared" si="29"/>
        <v>0</v>
      </c>
      <c r="G422" s="3">
        <v>0</v>
      </c>
      <c r="H422" s="16">
        <f t="shared" si="30"/>
        <v>0</v>
      </c>
      <c r="I422" s="21">
        <f t="shared" si="31"/>
        <v>0</v>
      </c>
    </row>
    <row r="423" spans="1:9" ht="13.5">
      <c r="A423" s="1">
        <v>19</v>
      </c>
      <c r="B423" s="2" t="s">
        <v>420</v>
      </c>
      <c r="C423" s="3"/>
      <c r="D423" s="3"/>
      <c r="E423" s="3"/>
      <c r="F423" s="3">
        <f t="shared" si="29"/>
        <v>0</v>
      </c>
      <c r="G423" s="3">
        <v>0</v>
      </c>
      <c r="H423" s="16">
        <f t="shared" si="30"/>
        <v>0</v>
      </c>
      <c r="I423" s="21">
        <f t="shared" si="31"/>
        <v>0</v>
      </c>
    </row>
    <row r="424" spans="1:9" ht="13.5">
      <c r="A424" s="1">
        <v>20</v>
      </c>
      <c r="B424" s="2" t="s">
        <v>421</v>
      </c>
      <c r="C424" s="3">
        <v>5</v>
      </c>
      <c r="D424" s="3"/>
      <c r="E424" s="3"/>
      <c r="F424" s="3">
        <f t="shared" si="29"/>
        <v>5</v>
      </c>
      <c r="G424" s="3">
        <v>5</v>
      </c>
      <c r="H424" s="16">
        <f t="shared" si="30"/>
        <v>0</v>
      </c>
      <c r="I424" s="21">
        <f t="shared" si="31"/>
        <v>0</v>
      </c>
    </row>
    <row r="425" spans="1:9" ht="13.5">
      <c r="A425" s="1">
        <v>21</v>
      </c>
      <c r="B425" s="2" t="s">
        <v>422</v>
      </c>
      <c r="C425" s="3">
        <v>3</v>
      </c>
      <c r="D425" s="3"/>
      <c r="E425" s="3"/>
      <c r="F425" s="3">
        <f t="shared" si="29"/>
        <v>3</v>
      </c>
      <c r="G425" s="3">
        <v>3</v>
      </c>
      <c r="H425" s="16">
        <f t="shared" si="30"/>
        <v>0</v>
      </c>
      <c r="I425" s="21">
        <f t="shared" si="31"/>
        <v>0</v>
      </c>
    </row>
    <row r="426" spans="1:9" ht="13.5">
      <c r="A426" s="1">
        <v>22</v>
      </c>
      <c r="B426" s="2" t="s">
        <v>423</v>
      </c>
      <c r="C426" s="3"/>
      <c r="D426" s="3"/>
      <c r="E426" s="3"/>
      <c r="F426" s="3">
        <f t="shared" si="29"/>
        <v>0</v>
      </c>
      <c r="G426" s="3">
        <v>0</v>
      </c>
      <c r="H426" s="16">
        <f t="shared" si="30"/>
        <v>0</v>
      </c>
      <c r="I426" s="21">
        <f t="shared" si="31"/>
        <v>0</v>
      </c>
    </row>
    <row r="427" spans="1:9" ht="13.5">
      <c r="A427" s="1">
        <v>23</v>
      </c>
      <c r="B427" s="2" t="s">
        <v>424</v>
      </c>
      <c r="C427" s="3"/>
      <c r="D427" s="3"/>
      <c r="E427" s="3"/>
      <c r="F427" s="3">
        <f t="shared" si="29"/>
        <v>0</v>
      </c>
      <c r="G427" s="3">
        <v>0</v>
      </c>
      <c r="H427" s="16">
        <f t="shared" si="30"/>
        <v>0</v>
      </c>
      <c r="I427" s="21">
        <f t="shared" si="31"/>
        <v>0</v>
      </c>
    </row>
    <row r="428" spans="1:9" ht="13.5">
      <c r="A428" s="1">
        <v>24</v>
      </c>
      <c r="B428" s="2" t="s">
        <v>425</v>
      </c>
      <c r="C428" s="3"/>
      <c r="D428" s="3"/>
      <c r="E428" s="3"/>
      <c r="F428" s="3">
        <f t="shared" si="29"/>
        <v>0</v>
      </c>
      <c r="G428" s="3">
        <v>0</v>
      </c>
      <c r="H428" s="16">
        <f t="shared" si="30"/>
        <v>0</v>
      </c>
      <c r="I428" s="21">
        <f t="shared" si="31"/>
        <v>0</v>
      </c>
    </row>
    <row r="429" spans="1:9" ht="13.5">
      <c r="A429" s="1">
        <v>25</v>
      </c>
      <c r="B429" s="2" t="s">
        <v>426</v>
      </c>
      <c r="C429" s="3">
        <v>1</v>
      </c>
      <c r="D429" s="3"/>
      <c r="E429" s="3"/>
      <c r="F429" s="3">
        <f t="shared" si="29"/>
        <v>1</v>
      </c>
      <c r="G429" s="3">
        <v>1</v>
      </c>
      <c r="H429" s="16">
        <f t="shared" si="30"/>
        <v>0</v>
      </c>
      <c r="I429" s="21">
        <f t="shared" si="31"/>
        <v>0</v>
      </c>
    </row>
    <row r="430" spans="1:9" ht="13.5">
      <c r="A430" s="1">
        <v>26</v>
      </c>
      <c r="B430" s="2" t="s">
        <v>427</v>
      </c>
      <c r="C430" s="3"/>
      <c r="D430" s="3"/>
      <c r="E430" s="3"/>
      <c r="F430" s="3">
        <f t="shared" si="29"/>
        <v>0</v>
      </c>
      <c r="G430" s="3">
        <v>0</v>
      </c>
      <c r="H430" s="16">
        <f t="shared" si="30"/>
        <v>0</v>
      </c>
      <c r="I430" s="21">
        <f t="shared" si="31"/>
        <v>0</v>
      </c>
    </row>
    <row r="431" spans="1:9" ht="13.5">
      <c r="A431" s="1">
        <v>27</v>
      </c>
      <c r="B431" s="2" t="s">
        <v>428</v>
      </c>
      <c r="C431" s="3">
        <v>56</v>
      </c>
      <c r="D431" s="3">
        <v>1</v>
      </c>
      <c r="E431" s="3"/>
      <c r="F431" s="3">
        <f t="shared" si="29"/>
        <v>55</v>
      </c>
      <c r="G431" s="3">
        <v>55</v>
      </c>
      <c r="H431" s="16">
        <v>0</v>
      </c>
      <c r="I431" s="21">
        <f t="shared" si="31"/>
        <v>0</v>
      </c>
    </row>
    <row r="432" spans="1:9" ht="13.5">
      <c r="A432" s="1">
        <v>28</v>
      </c>
      <c r="B432" s="2" t="s">
        <v>429</v>
      </c>
      <c r="C432" s="3">
        <v>10</v>
      </c>
      <c r="D432" s="3"/>
      <c r="E432" s="3">
        <v>1</v>
      </c>
      <c r="F432" s="3">
        <f t="shared" si="29"/>
        <v>9</v>
      </c>
      <c r="G432" s="3">
        <v>9</v>
      </c>
      <c r="H432" s="16">
        <v>0</v>
      </c>
      <c r="I432" s="21">
        <f t="shared" si="31"/>
        <v>0</v>
      </c>
    </row>
    <row r="433" spans="1:9" ht="13.5">
      <c r="A433" s="14" t="s">
        <v>478</v>
      </c>
      <c r="B433" s="15" t="s">
        <v>430</v>
      </c>
      <c r="C433" s="16">
        <f>SUM(C434:C441)</f>
        <v>93</v>
      </c>
      <c r="D433" s="16">
        <f>SUM(D434:D441)</f>
        <v>0</v>
      </c>
      <c r="E433" s="16">
        <f>SUM(E434:E441)</f>
        <v>0</v>
      </c>
      <c r="F433" s="16">
        <f t="shared" si="29"/>
        <v>93</v>
      </c>
      <c r="G433" s="16">
        <f>SUM(G434:G441)</f>
        <v>97</v>
      </c>
      <c r="H433" s="16">
        <f>SUM(H434:H441)</f>
        <v>-4</v>
      </c>
      <c r="I433" s="23">
        <f>H433/1484*-141</f>
        <v>0.38005390835579517</v>
      </c>
    </row>
    <row r="434" spans="1:9" ht="13.5">
      <c r="A434" s="1">
        <v>1</v>
      </c>
      <c r="B434" s="2" t="s">
        <v>431</v>
      </c>
      <c r="C434" s="3">
        <v>34</v>
      </c>
      <c r="D434" s="3"/>
      <c r="E434" s="3"/>
      <c r="F434" s="3">
        <f t="shared" si="29"/>
        <v>34</v>
      </c>
      <c r="G434" s="3">
        <v>34</v>
      </c>
      <c r="H434" s="16">
        <v>0</v>
      </c>
      <c r="I434" s="21">
        <v>0</v>
      </c>
    </row>
    <row r="435" spans="1:9" ht="13.5">
      <c r="A435" s="1">
        <v>2</v>
      </c>
      <c r="B435" s="2" t="s">
        <v>432</v>
      </c>
      <c r="C435" s="3">
        <v>18</v>
      </c>
      <c r="D435" s="3"/>
      <c r="E435" s="3"/>
      <c r="F435" s="3">
        <f t="shared" si="29"/>
        <v>18</v>
      </c>
      <c r="G435" s="3">
        <v>18</v>
      </c>
      <c r="H435" s="16">
        <v>0</v>
      </c>
      <c r="I435" s="21">
        <v>0</v>
      </c>
    </row>
    <row r="436" spans="1:9" ht="13.5">
      <c r="A436" s="1">
        <v>3</v>
      </c>
      <c r="B436" s="2" t="s">
        <v>433</v>
      </c>
      <c r="C436" s="3">
        <v>1</v>
      </c>
      <c r="D436" s="3"/>
      <c r="E436" s="3"/>
      <c r="F436" s="3">
        <f t="shared" si="29"/>
        <v>1</v>
      </c>
      <c r="G436" s="3">
        <v>1</v>
      </c>
      <c r="H436" s="16">
        <f t="shared" si="30"/>
        <v>0</v>
      </c>
      <c r="I436" s="21">
        <v>0</v>
      </c>
    </row>
    <row r="437" spans="1:9" ht="13.5">
      <c r="A437" s="1">
        <v>4</v>
      </c>
      <c r="B437" s="2" t="s">
        <v>434</v>
      </c>
      <c r="C437" s="3"/>
      <c r="D437" s="3"/>
      <c r="E437" s="3"/>
      <c r="F437" s="3">
        <f t="shared" si="29"/>
        <v>0</v>
      </c>
      <c r="G437" s="3"/>
      <c r="H437" s="16">
        <f t="shared" si="30"/>
        <v>0</v>
      </c>
      <c r="I437" s="21">
        <v>0</v>
      </c>
    </row>
    <row r="438" spans="1:9" ht="13.5">
      <c r="A438" s="1">
        <v>5</v>
      </c>
      <c r="B438" s="2" t="s">
        <v>435</v>
      </c>
      <c r="C438" s="3"/>
      <c r="D438" s="3"/>
      <c r="E438" s="3"/>
      <c r="F438" s="3">
        <f t="shared" si="29"/>
        <v>0</v>
      </c>
      <c r="G438" s="3"/>
      <c r="H438" s="16">
        <f t="shared" si="30"/>
        <v>0</v>
      </c>
      <c r="I438" s="21">
        <v>0</v>
      </c>
    </row>
    <row r="439" spans="1:9" ht="13.5">
      <c r="A439" s="1">
        <v>6</v>
      </c>
      <c r="B439" s="2" t="s">
        <v>436</v>
      </c>
      <c r="C439" s="3"/>
      <c r="D439" s="3"/>
      <c r="E439" s="3"/>
      <c r="F439" s="3">
        <f t="shared" si="29"/>
        <v>0</v>
      </c>
      <c r="G439" s="3"/>
      <c r="H439" s="16">
        <f t="shared" si="30"/>
        <v>0</v>
      </c>
      <c r="I439" s="21">
        <v>0</v>
      </c>
    </row>
    <row r="440" spans="1:9" ht="13.5">
      <c r="A440" s="1">
        <v>7</v>
      </c>
      <c r="B440" s="2" t="s">
        <v>437</v>
      </c>
      <c r="C440" s="3">
        <v>39</v>
      </c>
      <c r="D440" s="3"/>
      <c r="E440" s="3"/>
      <c r="F440" s="3">
        <f t="shared" si="29"/>
        <v>39</v>
      </c>
      <c r="G440" s="3">
        <v>43</v>
      </c>
      <c r="H440" s="16">
        <f t="shared" si="30"/>
        <v>-4</v>
      </c>
      <c r="I440" s="23">
        <v>0</v>
      </c>
    </row>
    <row r="441" spans="1:9" ht="13.5">
      <c r="A441" s="1">
        <v>8</v>
      </c>
      <c r="B441" s="2" t="s">
        <v>438</v>
      </c>
      <c r="C441" s="3">
        <v>1</v>
      </c>
      <c r="D441" s="3"/>
      <c r="E441" s="3"/>
      <c r="F441" s="3">
        <f t="shared" si="29"/>
        <v>1</v>
      </c>
      <c r="G441" s="3">
        <v>1</v>
      </c>
      <c r="H441" s="49">
        <f t="shared" si="30"/>
        <v>0</v>
      </c>
      <c r="I441" s="21">
        <v>0</v>
      </c>
    </row>
    <row r="442" spans="1:9" ht="19.5" customHeight="1">
      <c r="A442" s="74" t="s">
        <v>2</v>
      </c>
      <c r="B442" s="74"/>
      <c r="C442" s="5">
        <f aca="true" t="shared" si="32" ref="C442:I442">C433+C404+C398+C392+C385+C356+C346+C338+C324+C310+C295+C284+C267+C258+C248+C241+C202+C196+C160+C134+C133+C127+C119+C108+C100+C88+C77+C65+C48+C27+C6</f>
        <v>28164</v>
      </c>
      <c r="D442" s="5">
        <f t="shared" si="32"/>
        <v>62</v>
      </c>
      <c r="E442" s="5">
        <f t="shared" si="32"/>
        <v>148</v>
      </c>
      <c r="F442" s="5">
        <f t="shared" si="32"/>
        <v>27954</v>
      </c>
      <c r="G442" s="5">
        <f t="shared" si="32"/>
        <v>29438</v>
      </c>
      <c r="H442" s="5">
        <f t="shared" si="32"/>
        <v>-1484</v>
      </c>
      <c r="I442" s="5">
        <f t="shared" si="32"/>
        <v>141</v>
      </c>
    </row>
    <row r="443" ht="12.75">
      <c r="D443" s="17"/>
    </row>
    <row r="444" ht="12.75">
      <c r="F444" s="17"/>
    </row>
  </sheetData>
  <mergeCells count="12">
    <mergeCell ref="A442:B442"/>
    <mergeCell ref="A4:A5"/>
    <mergeCell ref="B4:B5"/>
    <mergeCell ref="A1:I1"/>
    <mergeCell ref="A2:I2"/>
    <mergeCell ref="C4:C5"/>
    <mergeCell ref="D4:D5"/>
    <mergeCell ref="I4:I5"/>
    <mergeCell ref="E4:E5"/>
    <mergeCell ref="F4:F5"/>
    <mergeCell ref="G4:G5"/>
    <mergeCell ref="H4:H5"/>
  </mergeCells>
  <printOptions horizontalCentered="1"/>
  <pageMargins left="1.04" right="0.57" top="0.81" bottom="1.47" header="0.5" footer="1.17"/>
  <pageSetup horizontalDpi="600" verticalDpi="600" orientation="portrait" pageOrder="overThenDown" paperSize="14" r:id="rId1"/>
  <headerFooter alignWithMargins="0">
    <oddFooter>&amp;C&amp;"Arial Narrow,Regular"&amp;9&amp;P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8"/>
  <sheetViews>
    <sheetView workbookViewId="0" topLeftCell="A1">
      <selection activeCell="A12" sqref="A12"/>
    </sheetView>
  </sheetViews>
  <sheetFormatPr defaultColWidth="9.140625" defaultRowHeight="12.75"/>
  <cols>
    <col min="1" max="1" width="4.8515625" style="0" customWidth="1"/>
    <col min="2" max="2" width="22.140625" style="0" bestFit="1" customWidth="1"/>
    <col min="3" max="3" width="7.28125" style="0" customWidth="1"/>
    <col min="4" max="4" width="5.421875" style="0" customWidth="1"/>
    <col min="5" max="5" width="5.8515625" style="0" customWidth="1"/>
    <col min="6" max="6" width="7.28125" style="0" customWidth="1"/>
    <col min="7" max="7" width="7.8515625" style="0" customWidth="1"/>
    <col min="8" max="8" width="9.28125" style="0" customWidth="1"/>
  </cols>
  <sheetData>
    <row r="1" spans="1:10" ht="12.75">
      <c r="A1" s="70" t="s">
        <v>445</v>
      </c>
      <c r="B1" s="70"/>
      <c r="C1" s="70"/>
      <c r="D1" s="70"/>
      <c r="E1" s="70"/>
      <c r="F1" s="70"/>
      <c r="G1" s="70"/>
      <c r="H1" s="70"/>
      <c r="I1" s="70"/>
      <c r="J1" s="8"/>
    </row>
    <row r="2" spans="1:9" ht="12.75">
      <c r="A2" s="71" t="s">
        <v>446</v>
      </c>
      <c r="B2" s="71"/>
      <c r="C2" s="71"/>
      <c r="D2" s="71"/>
      <c r="E2" s="71"/>
      <c r="F2" s="71"/>
      <c r="G2" s="71"/>
      <c r="H2" s="71"/>
      <c r="I2" s="71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9" ht="27" customHeight="1">
      <c r="A4" s="67" t="s">
        <v>0</v>
      </c>
      <c r="B4" s="67" t="s">
        <v>1</v>
      </c>
      <c r="C4" s="72" t="s">
        <v>483</v>
      </c>
      <c r="D4" s="72" t="s">
        <v>447</v>
      </c>
      <c r="E4" s="72" t="s">
        <v>442</v>
      </c>
      <c r="F4" s="72" t="s">
        <v>443</v>
      </c>
      <c r="G4" s="72" t="s">
        <v>444</v>
      </c>
      <c r="H4" s="69" t="s">
        <v>490</v>
      </c>
      <c r="I4" s="69" t="s">
        <v>496</v>
      </c>
    </row>
    <row r="5" spans="1:9" ht="13.5" customHeight="1">
      <c r="A5" s="67"/>
      <c r="B5" s="67"/>
      <c r="C5" s="73"/>
      <c r="D5" s="73"/>
      <c r="E5" s="73"/>
      <c r="F5" s="73"/>
      <c r="G5" s="73"/>
      <c r="H5" s="69"/>
      <c r="I5" s="69"/>
    </row>
    <row r="6" spans="1:9" ht="13.5">
      <c r="A6" s="11" t="s">
        <v>448</v>
      </c>
      <c r="B6" s="12" t="s">
        <v>3</v>
      </c>
      <c r="C6" s="13">
        <f>SUM(C7:C26)</f>
        <v>23276</v>
      </c>
      <c r="D6" s="13">
        <f>SUM(D7:D26)</f>
        <v>37</v>
      </c>
      <c r="E6" s="13">
        <f>SUM(E7:E26)</f>
        <v>159</v>
      </c>
      <c r="F6" s="13">
        <f>C6-E6-D6</f>
        <v>23080</v>
      </c>
      <c r="G6" s="13">
        <f>SUM(G7:G26)</f>
        <v>30459</v>
      </c>
      <c r="H6" s="13">
        <f aca="true" t="shared" si="0" ref="H6:H69">F6-G6</f>
        <v>-7379</v>
      </c>
      <c r="I6" s="23">
        <f>H6/-176206*60700</f>
        <v>2541.941250581706</v>
      </c>
    </row>
    <row r="7" spans="1:9" ht="13.5">
      <c r="A7" s="1">
        <v>1</v>
      </c>
      <c r="B7" s="2" t="s">
        <v>4</v>
      </c>
      <c r="C7" s="3">
        <v>1362</v>
      </c>
      <c r="D7" s="3">
        <v>2</v>
      </c>
      <c r="E7" s="3">
        <v>8</v>
      </c>
      <c r="F7" s="3">
        <f aca="true" t="shared" si="1" ref="F7:F68">C7-E7-D7</f>
        <v>1352</v>
      </c>
      <c r="G7" s="3">
        <v>2047</v>
      </c>
      <c r="H7" s="3">
        <f t="shared" si="0"/>
        <v>-695</v>
      </c>
      <c r="I7" s="21">
        <f>H7/-7379*2542</f>
        <v>239.42133080363192</v>
      </c>
    </row>
    <row r="8" spans="1:9" ht="13.5">
      <c r="A8" s="1">
        <v>2</v>
      </c>
      <c r="B8" s="2" t="s">
        <v>5</v>
      </c>
      <c r="C8" s="3">
        <v>1088</v>
      </c>
      <c r="D8" s="3">
        <v>4</v>
      </c>
      <c r="E8" s="3">
        <v>5</v>
      </c>
      <c r="F8" s="3">
        <f t="shared" si="1"/>
        <v>1079</v>
      </c>
      <c r="G8" s="3">
        <v>1596</v>
      </c>
      <c r="H8" s="3">
        <f t="shared" si="0"/>
        <v>-517</v>
      </c>
      <c r="I8" s="21">
        <f aca="true" t="shared" si="2" ref="I8:I26">H8/-7379*2542</f>
        <v>178.10191082802547</v>
      </c>
    </row>
    <row r="9" spans="1:9" ht="13.5">
      <c r="A9" s="1">
        <v>3</v>
      </c>
      <c r="B9" s="2" t="s">
        <v>6</v>
      </c>
      <c r="C9" s="3">
        <v>1488</v>
      </c>
      <c r="D9" s="3">
        <v>1</v>
      </c>
      <c r="E9" s="3">
        <v>7</v>
      </c>
      <c r="F9" s="3">
        <f t="shared" si="1"/>
        <v>1480</v>
      </c>
      <c r="G9" s="3">
        <v>3794</v>
      </c>
      <c r="H9" s="3">
        <f t="shared" si="0"/>
        <v>-2314</v>
      </c>
      <c r="I9" s="21">
        <f t="shared" si="2"/>
        <v>797.1524596828839</v>
      </c>
    </row>
    <row r="10" spans="1:9" ht="13.5">
      <c r="A10" s="1">
        <v>4</v>
      </c>
      <c r="B10" s="2" t="s">
        <v>7</v>
      </c>
      <c r="C10" s="3">
        <v>1756</v>
      </c>
      <c r="D10" s="3">
        <v>3</v>
      </c>
      <c r="E10" s="3">
        <v>7</v>
      </c>
      <c r="F10" s="3">
        <f t="shared" si="1"/>
        <v>1746</v>
      </c>
      <c r="G10" s="3">
        <v>1848</v>
      </c>
      <c r="H10" s="3">
        <f t="shared" si="0"/>
        <v>-102</v>
      </c>
      <c r="I10" s="21">
        <f t="shared" si="2"/>
        <v>35.13809459276325</v>
      </c>
    </row>
    <row r="11" spans="1:9" ht="13.5">
      <c r="A11" s="1">
        <v>5</v>
      </c>
      <c r="B11" s="2" t="s">
        <v>8</v>
      </c>
      <c r="C11" s="3">
        <v>1090</v>
      </c>
      <c r="D11" s="3">
        <v>0</v>
      </c>
      <c r="E11" s="3">
        <v>5</v>
      </c>
      <c r="F11" s="3">
        <f t="shared" si="1"/>
        <v>1085</v>
      </c>
      <c r="G11" s="3">
        <v>2747</v>
      </c>
      <c r="H11" s="3">
        <f t="shared" si="0"/>
        <v>-1662</v>
      </c>
      <c r="I11" s="21">
        <f t="shared" si="2"/>
        <v>572.5442471879659</v>
      </c>
    </row>
    <row r="12" spans="1:9" ht="13.5">
      <c r="A12" s="1">
        <v>6</v>
      </c>
      <c r="B12" s="2" t="s">
        <v>9</v>
      </c>
      <c r="C12" s="3">
        <v>1934</v>
      </c>
      <c r="D12" s="3">
        <v>2</v>
      </c>
      <c r="E12" s="3">
        <v>14</v>
      </c>
      <c r="F12" s="3">
        <f t="shared" si="1"/>
        <v>1918</v>
      </c>
      <c r="G12" s="3">
        <v>2165</v>
      </c>
      <c r="H12" s="3">
        <f t="shared" si="0"/>
        <v>-247</v>
      </c>
      <c r="I12" s="21">
        <f t="shared" si="2"/>
        <v>85.0893074942404</v>
      </c>
    </row>
    <row r="13" spans="1:9" ht="13.5">
      <c r="A13" s="1">
        <v>7</v>
      </c>
      <c r="B13" s="2" t="s">
        <v>10</v>
      </c>
      <c r="C13" s="3">
        <v>2888</v>
      </c>
      <c r="D13" s="3">
        <v>1</v>
      </c>
      <c r="E13" s="3">
        <v>16</v>
      </c>
      <c r="F13" s="3">
        <f t="shared" si="1"/>
        <v>2871</v>
      </c>
      <c r="G13" s="3">
        <v>3697</v>
      </c>
      <c r="H13" s="3">
        <f t="shared" si="0"/>
        <v>-826</v>
      </c>
      <c r="I13" s="21">
        <f t="shared" si="2"/>
        <v>284.5496679766906</v>
      </c>
    </row>
    <row r="14" spans="1:9" ht="13.5">
      <c r="A14" s="1">
        <v>8</v>
      </c>
      <c r="B14" s="2" t="s">
        <v>11</v>
      </c>
      <c r="C14" s="3">
        <v>2259</v>
      </c>
      <c r="D14" s="3">
        <v>5</v>
      </c>
      <c r="E14" s="3">
        <v>9</v>
      </c>
      <c r="F14" s="3">
        <f t="shared" si="1"/>
        <v>2245</v>
      </c>
      <c r="G14" s="3">
        <v>3022</v>
      </c>
      <c r="H14" s="3">
        <f t="shared" si="0"/>
        <v>-777</v>
      </c>
      <c r="I14" s="21">
        <f t="shared" si="2"/>
        <v>267.6696029272259</v>
      </c>
    </row>
    <row r="15" spans="1:9" ht="13.5">
      <c r="A15" s="1">
        <v>9</v>
      </c>
      <c r="B15" s="2" t="s">
        <v>12</v>
      </c>
      <c r="C15" s="3">
        <v>436</v>
      </c>
      <c r="D15" s="3">
        <v>1</v>
      </c>
      <c r="E15" s="3">
        <v>18</v>
      </c>
      <c r="F15" s="3">
        <f t="shared" si="1"/>
        <v>417</v>
      </c>
      <c r="G15" s="3">
        <v>571</v>
      </c>
      <c r="H15" s="3">
        <f t="shared" si="0"/>
        <v>-154</v>
      </c>
      <c r="I15" s="21">
        <f t="shared" si="2"/>
        <v>53.05163301260333</v>
      </c>
    </row>
    <row r="16" spans="1:9" ht="13.5">
      <c r="A16" s="1">
        <v>10</v>
      </c>
      <c r="B16" s="2" t="s">
        <v>13</v>
      </c>
      <c r="C16" s="3">
        <v>574</v>
      </c>
      <c r="D16" s="3">
        <v>1</v>
      </c>
      <c r="E16" s="3">
        <v>4</v>
      </c>
      <c r="F16" s="3">
        <f t="shared" si="1"/>
        <v>569</v>
      </c>
      <c r="G16" s="3">
        <v>633</v>
      </c>
      <c r="H16" s="3">
        <f t="shared" si="0"/>
        <v>-64</v>
      </c>
      <c r="I16" s="21">
        <f t="shared" si="2"/>
        <v>22.047431901341643</v>
      </c>
    </row>
    <row r="17" spans="1:9" ht="13.5">
      <c r="A17" s="1">
        <v>11</v>
      </c>
      <c r="B17" s="2" t="s">
        <v>14</v>
      </c>
      <c r="C17" s="3">
        <v>2274</v>
      </c>
      <c r="D17" s="3">
        <v>8</v>
      </c>
      <c r="E17" s="3">
        <v>23</v>
      </c>
      <c r="F17" s="3">
        <f t="shared" si="1"/>
        <v>2243</v>
      </c>
      <c r="G17" s="3">
        <v>2243</v>
      </c>
      <c r="H17" s="3">
        <f t="shared" si="0"/>
        <v>0</v>
      </c>
      <c r="I17" s="21">
        <f t="shared" si="2"/>
        <v>0</v>
      </c>
    </row>
    <row r="18" spans="1:9" ht="13.5">
      <c r="A18" s="1">
        <v>12</v>
      </c>
      <c r="B18" s="2" t="s">
        <v>15</v>
      </c>
      <c r="C18" s="3">
        <v>634</v>
      </c>
      <c r="D18" s="3">
        <v>0</v>
      </c>
      <c r="E18" s="3">
        <v>2</v>
      </c>
      <c r="F18" s="3">
        <f t="shared" si="1"/>
        <v>632</v>
      </c>
      <c r="G18" s="3">
        <v>632</v>
      </c>
      <c r="H18" s="3">
        <f t="shared" si="0"/>
        <v>0</v>
      </c>
      <c r="I18" s="21">
        <f t="shared" si="2"/>
        <v>0</v>
      </c>
    </row>
    <row r="19" spans="1:9" ht="13.5">
      <c r="A19" s="1">
        <v>13</v>
      </c>
      <c r="B19" s="2" t="s">
        <v>16</v>
      </c>
      <c r="C19" s="3">
        <v>407</v>
      </c>
      <c r="D19" s="3">
        <v>0</v>
      </c>
      <c r="E19" s="3">
        <v>0</v>
      </c>
      <c r="F19" s="3">
        <f t="shared" si="1"/>
        <v>407</v>
      </c>
      <c r="G19" s="3">
        <v>407</v>
      </c>
      <c r="H19" s="3">
        <f t="shared" si="0"/>
        <v>0</v>
      </c>
      <c r="I19" s="21">
        <f t="shared" si="2"/>
        <v>0</v>
      </c>
    </row>
    <row r="20" spans="1:9" ht="13.5">
      <c r="A20" s="1">
        <v>14</v>
      </c>
      <c r="B20" s="2" t="s">
        <v>17</v>
      </c>
      <c r="C20" s="3">
        <v>1050</v>
      </c>
      <c r="D20" s="3">
        <v>0</v>
      </c>
      <c r="E20" s="3">
        <v>5</v>
      </c>
      <c r="F20" s="3">
        <f t="shared" si="1"/>
        <v>1045</v>
      </c>
      <c r="G20" s="3">
        <v>1045</v>
      </c>
      <c r="H20" s="3">
        <f t="shared" si="0"/>
        <v>0</v>
      </c>
      <c r="I20" s="21">
        <f t="shared" si="2"/>
        <v>0</v>
      </c>
    </row>
    <row r="21" spans="1:9" ht="13.5">
      <c r="A21" s="1">
        <v>15</v>
      </c>
      <c r="B21" s="2" t="s">
        <v>18</v>
      </c>
      <c r="C21" s="3">
        <v>871</v>
      </c>
      <c r="D21" s="3">
        <v>3</v>
      </c>
      <c r="E21" s="3">
        <v>6</v>
      </c>
      <c r="F21" s="3">
        <f t="shared" si="1"/>
        <v>862</v>
      </c>
      <c r="G21" s="3">
        <v>862</v>
      </c>
      <c r="H21" s="3">
        <f t="shared" si="0"/>
        <v>0</v>
      </c>
      <c r="I21" s="21">
        <f t="shared" si="2"/>
        <v>0</v>
      </c>
    </row>
    <row r="22" spans="1:9" ht="13.5">
      <c r="A22" s="1">
        <v>16</v>
      </c>
      <c r="B22" s="2" t="s">
        <v>19</v>
      </c>
      <c r="C22" s="3">
        <v>424</v>
      </c>
      <c r="D22" s="3">
        <v>1</v>
      </c>
      <c r="E22" s="3">
        <v>0</v>
      </c>
      <c r="F22" s="3">
        <f t="shared" si="1"/>
        <v>423</v>
      </c>
      <c r="G22" s="3">
        <v>423</v>
      </c>
      <c r="H22" s="3">
        <f t="shared" si="0"/>
        <v>0</v>
      </c>
      <c r="I22" s="21">
        <f t="shared" si="2"/>
        <v>0</v>
      </c>
    </row>
    <row r="23" spans="1:9" ht="13.5">
      <c r="A23" s="1">
        <v>17</v>
      </c>
      <c r="B23" s="2" t="s">
        <v>20</v>
      </c>
      <c r="C23" s="3">
        <v>1156</v>
      </c>
      <c r="D23" s="3">
        <v>3</v>
      </c>
      <c r="E23" s="3">
        <v>13</v>
      </c>
      <c r="F23" s="3">
        <f t="shared" si="1"/>
        <v>1140</v>
      </c>
      <c r="G23" s="3">
        <v>1140</v>
      </c>
      <c r="H23" s="3">
        <f t="shared" si="0"/>
        <v>0</v>
      </c>
      <c r="I23" s="21">
        <f t="shared" si="2"/>
        <v>0</v>
      </c>
    </row>
    <row r="24" spans="1:9" ht="13.5">
      <c r="A24" s="1">
        <v>18</v>
      </c>
      <c r="B24" s="2" t="s">
        <v>21</v>
      </c>
      <c r="C24" s="3">
        <v>261</v>
      </c>
      <c r="D24" s="3">
        <v>0</v>
      </c>
      <c r="E24" s="3">
        <v>4</v>
      </c>
      <c r="F24" s="3">
        <f t="shared" si="1"/>
        <v>257</v>
      </c>
      <c r="G24" s="3">
        <v>278</v>
      </c>
      <c r="H24" s="3">
        <f t="shared" si="0"/>
        <v>-21</v>
      </c>
      <c r="I24" s="21">
        <f t="shared" si="2"/>
        <v>7.234313592627727</v>
      </c>
    </row>
    <row r="25" spans="1:9" ht="13.5">
      <c r="A25" s="1">
        <v>19</v>
      </c>
      <c r="B25" s="2" t="s">
        <v>22</v>
      </c>
      <c r="C25" s="3">
        <v>688</v>
      </c>
      <c r="D25" s="3">
        <v>1</v>
      </c>
      <c r="E25" s="3">
        <v>5</v>
      </c>
      <c r="F25" s="3">
        <f t="shared" si="1"/>
        <v>682</v>
      </c>
      <c r="G25" s="3">
        <v>682</v>
      </c>
      <c r="H25" s="3">
        <f t="shared" si="0"/>
        <v>0</v>
      </c>
      <c r="I25" s="21">
        <f t="shared" si="2"/>
        <v>0</v>
      </c>
    </row>
    <row r="26" spans="1:9" ht="13.5">
      <c r="A26" s="1">
        <v>20</v>
      </c>
      <c r="B26" s="2" t="s">
        <v>23</v>
      </c>
      <c r="C26" s="3">
        <v>636</v>
      </c>
      <c r="D26" s="3">
        <v>1</v>
      </c>
      <c r="E26" s="3">
        <v>8</v>
      </c>
      <c r="F26" s="3">
        <f t="shared" si="1"/>
        <v>627</v>
      </c>
      <c r="G26" s="3">
        <v>627</v>
      </c>
      <c r="H26" s="3">
        <f t="shared" si="0"/>
        <v>0</v>
      </c>
      <c r="I26" s="21">
        <f t="shared" si="2"/>
        <v>0</v>
      </c>
    </row>
    <row r="27" spans="1:9" ht="13.5">
      <c r="A27" s="14" t="s">
        <v>449</v>
      </c>
      <c r="B27" s="15" t="s">
        <v>24</v>
      </c>
      <c r="C27" s="16">
        <f>SUM(C28:C48)</f>
        <v>63364</v>
      </c>
      <c r="D27" s="16">
        <f>SUM(D28:D48)</f>
        <v>157</v>
      </c>
      <c r="E27" s="16">
        <f>SUM(E28:E48)</f>
        <v>440</v>
      </c>
      <c r="F27" s="16">
        <f t="shared" si="1"/>
        <v>62767</v>
      </c>
      <c r="G27" s="16">
        <f>SUM(G28:G48)</f>
        <v>69440</v>
      </c>
      <c r="H27" s="16">
        <f t="shared" si="0"/>
        <v>-6673</v>
      </c>
      <c r="I27" s="23">
        <f>H27/-176206*60700</f>
        <v>2298.736138383483</v>
      </c>
    </row>
    <row r="28" spans="1:9" ht="13.5">
      <c r="A28" s="1">
        <v>1</v>
      </c>
      <c r="B28" s="2" t="s">
        <v>25</v>
      </c>
      <c r="C28" s="3">
        <v>3401</v>
      </c>
      <c r="D28" s="3">
        <v>5</v>
      </c>
      <c r="E28" s="3">
        <v>12</v>
      </c>
      <c r="F28" s="3">
        <f t="shared" si="1"/>
        <v>3384</v>
      </c>
      <c r="G28" s="3">
        <v>4262</v>
      </c>
      <c r="H28" s="3">
        <f t="shared" si="0"/>
        <v>-878</v>
      </c>
      <c r="I28" s="21">
        <f>H28/-6673*2299</f>
        <v>302.49093361306757</v>
      </c>
    </row>
    <row r="29" spans="1:9" ht="13.5">
      <c r="A29" s="1">
        <v>2</v>
      </c>
      <c r="B29" s="2" t="s">
        <v>26</v>
      </c>
      <c r="C29" s="3">
        <v>3943</v>
      </c>
      <c r="D29" s="3">
        <v>8</v>
      </c>
      <c r="E29" s="3">
        <v>16</v>
      </c>
      <c r="F29" s="3">
        <f t="shared" si="1"/>
        <v>3919</v>
      </c>
      <c r="G29" s="3">
        <v>4336</v>
      </c>
      <c r="H29" s="3">
        <f t="shared" si="0"/>
        <v>-417</v>
      </c>
      <c r="I29" s="21">
        <f aca="true" t="shared" si="3" ref="I29:I48">H29/-6673*2299</f>
        <v>143.66596733103552</v>
      </c>
    </row>
    <row r="30" spans="1:9" ht="13.5">
      <c r="A30" s="1">
        <v>3</v>
      </c>
      <c r="B30" s="2" t="s">
        <v>27</v>
      </c>
      <c r="C30" s="3">
        <v>1905</v>
      </c>
      <c r="D30" s="3">
        <v>3</v>
      </c>
      <c r="E30" s="3">
        <v>6</v>
      </c>
      <c r="F30" s="3">
        <f t="shared" si="1"/>
        <v>1896</v>
      </c>
      <c r="G30" s="3">
        <v>2065</v>
      </c>
      <c r="H30" s="3">
        <f t="shared" si="0"/>
        <v>-169</v>
      </c>
      <c r="I30" s="21">
        <f t="shared" si="3"/>
        <v>58.224336879964035</v>
      </c>
    </row>
    <row r="31" spans="1:9" ht="13.5">
      <c r="A31" s="1">
        <v>4</v>
      </c>
      <c r="B31" s="2" t="s">
        <v>28</v>
      </c>
      <c r="C31" s="3">
        <v>3227</v>
      </c>
      <c r="D31" s="3">
        <v>11</v>
      </c>
      <c r="E31" s="3">
        <v>56</v>
      </c>
      <c r="F31" s="3">
        <f t="shared" si="1"/>
        <v>3160</v>
      </c>
      <c r="G31" s="3">
        <v>3867</v>
      </c>
      <c r="H31" s="3">
        <f t="shared" si="0"/>
        <v>-707</v>
      </c>
      <c r="I31" s="21">
        <f t="shared" si="3"/>
        <v>243.57755132624007</v>
      </c>
    </row>
    <row r="32" spans="1:9" ht="13.5">
      <c r="A32" s="1">
        <v>5</v>
      </c>
      <c r="B32" s="2" t="s">
        <v>29</v>
      </c>
      <c r="C32" s="3">
        <v>4829</v>
      </c>
      <c r="D32" s="3">
        <v>3</v>
      </c>
      <c r="E32" s="3">
        <v>14</v>
      </c>
      <c r="F32" s="3">
        <f t="shared" si="1"/>
        <v>4812</v>
      </c>
      <c r="G32" s="3">
        <v>5821</v>
      </c>
      <c r="H32" s="3">
        <f t="shared" si="0"/>
        <v>-1009</v>
      </c>
      <c r="I32" s="21">
        <f t="shared" si="3"/>
        <v>347.6234077626255</v>
      </c>
    </row>
    <row r="33" spans="1:9" ht="13.5">
      <c r="A33" s="1">
        <v>6</v>
      </c>
      <c r="B33" s="2" t="s">
        <v>30</v>
      </c>
      <c r="C33" s="3">
        <v>5274</v>
      </c>
      <c r="D33" s="3">
        <v>13</v>
      </c>
      <c r="E33" s="3">
        <v>30</v>
      </c>
      <c r="F33" s="3">
        <f t="shared" si="1"/>
        <v>5231</v>
      </c>
      <c r="G33" s="3">
        <v>6174</v>
      </c>
      <c r="H33" s="3">
        <f t="shared" si="0"/>
        <v>-943</v>
      </c>
      <c r="I33" s="21">
        <f t="shared" si="3"/>
        <v>324.8849093361307</v>
      </c>
    </row>
    <row r="34" spans="1:9" ht="13.5">
      <c r="A34" s="1">
        <v>7</v>
      </c>
      <c r="B34" s="2" t="s">
        <v>31</v>
      </c>
      <c r="C34" s="3">
        <v>6442</v>
      </c>
      <c r="D34" s="3">
        <v>18</v>
      </c>
      <c r="E34" s="3">
        <v>39</v>
      </c>
      <c r="F34" s="3">
        <f t="shared" si="1"/>
        <v>6385</v>
      </c>
      <c r="G34" s="3">
        <v>6629</v>
      </c>
      <c r="H34" s="3">
        <f t="shared" si="0"/>
        <v>-244</v>
      </c>
      <c r="I34" s="21">
        <f t="shared" si="3"/>
        <v>84.06353963734453</v>
      </c>
    </row>
    <row r="35" spans="1:9" ht="13.5">
      <c r="A35" s="1">
        <v>8</v>
      </c>
      <c r="B35" s="2" t="s">
        <v>32</v>
      </c>
      <c r="C35" s="3">
        <v>2145</v>
      </c>
      <c r="D35" s="3">
        <v>6</v>
      </c>
      <c r="E35" s="3">
        <v>18</v>
      </c>
      <c r="F35" s="3">
        <f t="shared" si="1"/>
        <v>2121</v>
      </c>
      <c r="G35" s="3">
        <v>2121</v>
      </c>
      <c r="H35" s="3">
        <f t="shared" si="0"/>
        <v>0</v>
      </c>
      <c r="I35" s="21">
        <f t="shared" si="3"/>
        <v>0</v>
      </c>
    </row>
    <row r="36" spans="1:9" ht="13.5">
      <c r="A36" s="1">
        <v>9</v>
      </c>
      <c r="B36" s="2" t="s">
        <v>33</v>
      </c>
      <c r="C36" s="3">
        <v>2315</v>
      </c>
      <c r="D36" s="3">
        <v>4</v>
      </c>
      <c r="E36" s="3">
        <v>17</v>
      </c>
      <c r="F36" s="3">
        <f t="shared" si="1"/>
        <v>2294</v>
      </c>
      <c r="G36" s="3">
        <v>2302</v>
      </c>
      <c r="H36" s="3">
        <f t="shared" si="0"/>
        <v>-8</v>
      </c>
      <c r="I36" s="21">
        <f t="shared" si="3"/>
        <v>2.756181627453919</v>
      </c>
    </row>
    <row r="37" spans="1:9" ht="13.5">
      <c r="A37" s="1">
        <v>10</v>
      </c>
      <c r="B37" s="2" t="s">
        <v>34</v>
      </c>
      <c r="C37" s="3">
        <v>9591</v>
      </c>
      <c r="D37" s="3">
        <v>19</v>
      </c>
      <c r="E37" s="3">
        <v>55</v>
      </c>
      <c r="F37" s="3">
        <f t="shared" si="1"/>
        <v>9517</v>
      </c>
      <c r="G37" s="3">
        <v>10541</v>
      </c>
      <c r="H37" s="3">
        <f t="shared" si="0"/>
        <v>-1024</v>
      </c>
      <c r="I37" s="21">
        <f t="shared" si="3"/>
        <v>352.7912483141016</v>
      </c>
    </row>
    <row r="38" spans="1:9" ht="13.5">
      <c r="A38" s="1">
        <v>11</v>
      </c>
      <c r="B38" s="2" t="s">
        <v>35</v>
      </c>
      <c r="C38" s="3">
        <v>5501</v>
      </c>
      <c r="D38" s="3">
        <v>6</v>
      </c>
      <c r="E38" s="3">
        <v>11</v>
      </c>
      <c r="F38" s="3">
        <f t="shared" si="1"/>
        <v>5484</v>
      </c>
      <c r="G38" s="3">
        <v>5649</v>
      </c>
      <c r="H38" s="3">
        <f t="shared" si="0"/>
        <v>-165</v>
      </c>
      <c r="I38" s="21">
        <f t="shared" si="3"/>
        <v>56.84624606623707</v>
      </c>
    </row>
    <row r="39" spans="1:9" ht="13.5">
      <c r="A39" s="1">
        <v>12</v>
      </c>
      <c r="B39" s="2" t="s">
        <v>36</v>
      </c>
      <c r="C39" s="3">
        <v>2142</v>
      </c>
      <c r="D39" s="3">
        <v>14</v>
      </c>
      <c r="E39" s="3">
        <v>24</v>
      </c>
      <c r="F39" s="3">
        <f t="shared" si="1"/>
        <v>2104</v>
      </c>
      <c r="G39" s="3">
        <v>2433</v>
      </c>
      <c r="H39" s="3">
        <f t="shared" si="0"/>
        <v>-329</v>
      </c>
      <c r="I39" s="21">
        <f t="shared" si="3"/>
        <v>113.34796942904242</v>
      </c>
    </row>
    <row r="40" spans="1:9" ht="13.5">
      <c r="A40" s="1">
        <v>13</v>
      </c>
      <c r="B40" s="2" t="s">
        <v>37</v>
      </c>
      <c r="C40" s="3">
        <v>2242</v>
      </c>
      <c r="D40" s="3">
        <v>3</v>
      </c>
      <c r="E40" s="3">
        <v>11</v>
      </c>
      <c r="F40" s="3">
        <f t="shared" si="1"/>
        <v>2228</v>
      </c>
      <c r="G40" s="3">
        <v>2564</v>
      </c>
      <c r="H40" s="3">
        <f t="shared" si="0"/>
        <v>-336</v>
      </c>
      <c r="I40" s="21">
        <f t="shared" si="3"/>
        <v>115.75962835306458</v>
      </c>
    </row>
    <row r="41" spans="1:9" ht="13.5">
      <c r="A41" s="1">
        <v>14</v>
      </c>
      <c r="B41" s="2" t="s">
        <v>493</v>
      </c>
      <c r="C41" s="3">
        <v>0</v>
      </c>
      <c r="D41" s="3"/>
      <c r="E41" s="3"/>
      <c r="F41" s="3"/>
      <c r="G41" s="3"/>
      <c r="H41" s="3">
        <f t="shared" si="0"/>
        <v>0</v>
      </c>
      <c r="I41" s="21">
        <f t="shared" si="3"/>
        <v>0</v>
      </c>
    </row>
    <row r="42" spans="1:9" ht="13.5">
      <c r="A42" s="1">
        <v>15</v>
      </c>
      <c r="B42" s="2" t="s">
        <v>38</v>
      </c>
      <c r="C42" s="3">
        <v>402</v>
      </c>
      <c r="D42" s="3">
        <v>1</v>
      </c>
      <c r="E42" s="3">
        <v>4</v>
      </c>
      <c r="F42" s="3">
        <f t="shared" si="1"/>
        <v>397</v>
      </c>
      <c r="G42" s="3">
        <v>478</v>
      </c>
      <c r="H42" s="3">
        <f t="shared" si="0"/>
        <v>-81</v>
      </c>
      <c r="I42" s="21">
        <f t="shared" si="3"/>
        <v>27.906338977970925</v>
      </c>
    </row>
    <row r="43" spans="1:9" ht="13.5">
      <c r="A43" s="1">
        <v>16</v>
      </c>
      <c r="B43" s="2" t="s">
        <v>39</v>
      </c>
      <c r="C43" s="3">
        <v>602</v>
      </c>
      <c r="D43" s="3">
        <v>2</v>
      </c>
      <c r="E43" s="3">
        <v>4</v>
      </c>
      <c r="F43" s="3">
        <f t="shared" si="1"/>
        <v>596</v>
      </c>
      <c r="G43" s="3">
        <v>617</v>
      </c>
      <c r="H43" s="3">
        <f t="shared" si="0"/>
        <v>-21</v>
      </c>
      <c r="I43" s="21">
        <f t="shared" si="3"/>
        <v>7.2349767720665366</v>
      </c>
    </row>
    <row r="44" spans="1:9" ht="13.5">
      <c r="A44" s="1">
        <v>17</v>
      </c>
      <c r="B44" s="2" t="s">
        <v>40</v>
      </c>
      <c r="C44" s="3">
        <v>1095</v>
      </c>
      <c r="D44" s="3">
        <v>13</v>
      </c>
      <c r="E44" s="3">
        <v>29</v>
      </c>
      <c r="F44" s="3">
        <f t="shared" si="1"/>
        <v>1053</v>
      </c>
      <c r="G44" s="3">
        <v>1156</v>
      </c>
      <c r="H44" s="3">
        <f t="shared" si="0"/>
        <v>-103</v>
      </c>
      <c r="I44" s="21">
        <f t="shared" si="3"/>
        <v>35.485838453469206</v>
      </c>
    </row>
    <row r="45" spans="1:9" ht="13.5">
      <c r="A45" s="1">
        <v>18</v>
      </c>
      <c r="B45" s="2" t="s">
        <v>41</v>
      </c>
      <c r="C45" s="3">
        <v>689</v>
      </c>
      <c r="D45" s="3">
        <v>3</v>
      </c>
      <c r="E45" s="3">
        <v>4</v>
      </c>
      <c r="F45" s="3">
        <f t="shared" si="1"/>
        <v>682</v>
      </c>
      <c r="G45" s="3">
        <v>738</v>
      </c>
      <c r="H45" s="3">
        <f t="shared" si="0"/>
        <v>-56</v>
      </c>
      <c r="I45" s="21">
        <f t="shared" si="3"/>
        <v>19.29327139217743</v>
      </c>
    </row>
    <row r="46" spans="1:9" ht="13.5">
      <c r="A46" s="1">
        <v>19</v>
      </c>
      <c r="B46" s="2" t="s">
        <v>42</v>
      </c>
      <c r="C46" s="3">
        <v>5367</v>
      </c>
      <c r="D46" s="3">
        <v>22</v>
      </c>
      <c r="E46" s="3">
        <v>75</v>
      </c>
      <c r="F46" s="3">
        <f t="shared" si="1"/>
        <v>5270</v>
      </c>
      <c r="G46" s="3">
        <v>5388</v>
      </c>
      <c r="H46" s="3">
        <f t="shared" si="0"/>
        <v>-118</v>
      </c>
      <c r="I46" s="21">
        <f t="shared" si="3"/>
        <v>40.6536790049453</v>
      </c>
    </row>
    <row r="47" spans="1:9" ht="13.5">
      <c r="A47" s="1">
        <v>20</v>
      </c>
      <c r="B47" s="2" t="s">
        <v>43</v>
      </c>
      <c r="C47" s="3">
        <v>1226</v>
      </c>
      <c r="D47" s="3">
        <v>2</v>
      </c>
      <c r="E47" s="3">
        <v>6</v>
      </c>
      <c r="F47" s="3">
        <f t="shared" si="1"/>
        <v>1218</v>
      </c>
      <c r="G47" s="3">
        <v>1283</v>
      </c>
      <c r="H47" s="3">
        <f t="shared" si="0"/>
        <v>-65</v>
      </c>
      <c r="I47" s="21">
        <f t="shared" si="3"/>
        <v>22.39397572306309</v>
      </c>
    </row>
    <row r="48" spans="1:9" ht="13.5">
      <c r="A48" s="1">
        <v>21</v>
      </c>
      <c r="B48" s="2" t="s">
        <v>44</v>
      </c>
      <c r="C48" s="3">
        <v>1026</v>
      </c>
      <c r="D48" s="3">
        <v>1</v>
      </c>
      <c r="E48" s="3">
        <v>9</v>
      </c>
      <c r="F48" s="3">
        <f t="shared" si="1"/>
        <v>1016</v>
      </c>
      <c r="G48" s="3">
        <v>1016</v>
      </c>
      <c r="H48" s="3">
        <f t="shared" si="0"/>
        <v>0</v>
      </c>
      <c r="I48" s="21">
        <f t="shared" si="3"/>
        <v>0</v>
      </c>
    </row>
    <row r="49" spans="1:9" ht="13.5">
      <c r="A49" s="14" t="s">
        <v>450</v>
      </c>
      <c r="B49" s="15" t="s">
        <v>45</v>
      </c>
      <c r="C49" s="16">
        <f>SUM(C50:C65)</f>
        <v>27161</v>
      </c>
      <c r="D49" s="16">
        <f>SUM(D50:D65)</f>
        <v>117</v>
      </c>
      <c r="E49" s="16">
        <f>SUM(E50:E65)</f>
        <v>339</v>
      </c>
      <c r="F49" s="16">
        <f t="shared" si="1"/>
        <v>26705</v>
      </c>
      <c r="G49" s="16">
        <f>SUM(G50:G65)</f>
        <v>30858</v>
      </c>
      <c r="H49" s="16">
        <f t="shared" si="0"/>
        <v>-4153</v>
      </c>
      <c r="I49" s="23">
        <f>H49/-176206*60700</f>
        <v>1430.638570763765</v>
      </c>
    </row>
    <row r="50" spans="1:9" ht="13.5">
      <c r="A50" s="1">
        <v>1</v>
      </c>
      <c r="B50" s="2" t="s">
        <v>46</v>
      </c>
      <c r="C50" s="3">
        <v>2646</v>
      </c>
      <c r="D50" s="3">
        <v>5</v>
      </c>
      <c r="E50" s="3">
        <v>36</v>
      </c>
      <c r="F50" s="3">
        <f t="shared" si="1"/>
        <v>2605</v>
      </c>
      <c r="G50" s="3">
        <v>2859</v>
      </c>
      <c r="H50" s="3">
        <f t="shared" si="0"/>
        <v>-254</v>
      </c>
      <c r="I50" s="21">
        <f>H50/-4153*1431</f>
        <v>87.52082831687936</v>
      </c>
    </row>
    <row r="51" spans="1:9" ht="13.5">
      <c r="A51" s="1">
        <v>2</v>
      </c>
      <c r="B51" s="2" t="s">
        <v>47</v>
      </c>
      <c r="C51" s="3">
        <v>2785</v>
      </c>
      <c r="D51" s="3">
        <v>6</v>
      </c>
      <c r="E51" s="3">
        <v>14</v>
      </c>
      <c r="F51" s="3">
        <f t="shared" si="1"/>
        <v>2765</v>
      </c>
      <c r="G51" s="3">
        <v>3101</v>
      </c>
      <c r="H51" s="3">
        <f t="shared" si="0"/>
        <v>-336</v>
      </c>
      <c r="I51" s="21">
        <f aca="true" t="shared" si="4" ref="I51:I65">H51/-4153*1431</f>
        <v>115.775583915242</v>
      </c>
    </row>
    <row r="52" spans="1:9" ht="13.5">
      <c r="A52" s="1">
        <v>3</v>
      </c>
      <c r="B52" s="2" t="s">
        <v>48</v>
      </c>
      <c r="C52" s="3">
        <v>2127</v>
      </c>
      <c r="D52" s="3">
        <v>1</v>
      </c>
      <c r="E52" s="3">
        <v>4</v>
      </c>
      <c r="F52" s="3">
        <f t="shared" si="1"/>
        <v>2122</v>
      </c>
      <c r="G52" s="3">
        <v>2388</v>
      </c>
      <c r="H52" s="3">
        <f t="shared" si="0"/>
        <v>-266</v>
      </c>
      <c r="I52" s="21">
        <f t="shared" si="4"/>
        <v>91.65567059956658</v>
      </c>
    </row>
    <row r="53" spans="1:9" ht="13.5">
      <c r="A53" s="1">
        <v>4</v>
      </c>
      <c r="B53" s="2" t="s">
        <v>49</v>
      </c>
      <c r="C53" s="3">
        <v>2332</v>
      </c>
      <c r="D53" s="3">
        <v>20</v>
      </c>
      <c r="E53" s="3">
        <v>32</v>
      </c>
      <c r="F53" s="3">
        <f t="shared" si="1"/>
        <v>2280</v>
      </c>
      <c r="G53" s="3">
        <v>2280</v>
      </c>
      <c r="H53" s="3">
        <f t="shared" si="0"/>
        <v>0</v>
      </c>
      <c r="I53" s="21">
        <f t="shared" si="4"/>
        <v>0</v>
      </c>
    </row>
    <row r="54" spans="1:9" ht="13.5">
      <c r="A54" s="1">
        <v>5</v>
      </c>
      <c r="B54" s="2" t="s">
        <v>50</v>
      </c>
      <c r="C54" s="3">
        <v>2576</v>
      </c>
      <c r="D54" s="3">
        <v>17</v>
      </c>
      <c r="E54" s="3">
        <v>35</v>
      </c>
      <c r="F54" s="3">
        <f t="shared" si="1"/>
        <v>2524</v>
      </c>
      <c r="G54" s="3">
        <v>3179</v>
      </c>
      <c r="H54" s="3">
        <f t="shared" si="0"/>
        <v>-655</v>
      </c>
      <c r="I54" s="21">
        <f t="shared" si="4"/>
        <v>225.69347459667708</v>
      </c>
    </row>
    <row r="55" spans="1:9" ht="13.5">
      <c r="A55" s="1">
        <v>6</v>
      </c>
      <c r="B55" s="2" t="s">
        <v>51</v>
      </c>
      <c r="C55" s="3">
        <v>2732</v>
      </c>
      <c r="D55" s="3">
        <v>20</v>
      </c>
      <c r="E55" s="3">
        <v>49</v>
      </c>
      <c r="F55" s="3">
        <f t="shared" si="1"/>
        <v>2663</v>
      </c>
      <c r="G55" s="3">
        <v>3336</v>
      </c>
      <c r="H55" s="3">
        <f t="shared" si="0"/>
        <v>-673</v>
      </c>
      <c r="I55" s="21">
        <f t="shared" si="4"/>
        <v>231.8957380207079</v>
      </c>
    </row>
    <row r="56" spans="1:9" ht="13.5">
      <c r="A56" s="1">
        <v>7</v>
      </c>
      <c r="B56" s="2" t="s">
        <v>52</v>
      </c>
      <c r="C56" s="3">
        <v>2365</v>
      </c>
      <c r="D56" s="3">
        <v>11</v>
      </c>
      <c r="E56" s="3">
        <v>32</v>
      </c>
      <c r="F56" s="3">
        <f t="shared" si="1"/>
        <v>2322</v>
      </c>
      <c r="G56" s="3">
        <v>2589</v>
      </c>
      <c r="H56" s="3">
        <f t="shared" si="0"/>
        <v>-267</v>
      </c>
      <c r="I56" s="21">
        <f t="shared" si="4"/>
        <v>92.00024078979051</v>
      </c>
    </row>
    <row r="57" spans="1:9" ht="13.5">
      <c r="A57" s="1">
        <v>8</v>
      </c>
      <c r="B57" s="2" t="s">
        <v>53</v>
      </c>
      <c r="C57" s="3">
        <v>2997</v>
      </c>
      <c r="D57" s="3">
        <v>7</v>
      </c>
      <c r="E57" s="3">
        <v>34</v>
      </c>
      <c r="F57" s="3">
        <f t="shared" si="1"/>
        <v>2956</v>
      </c>
      <c r="G57" s="3">
        <v>3908</v>
      </c>
      <c r="H57" s="3">
        <f t="shared" si="0"/>
        <v>-952</v>
      </c>
      <c r="I57" s="21">
        <f t="shared" si="4"/>
        <v>328.03082109318564</v>
      </c>
    </row>
    <row r="58" spans="1:9" ht="13.5">
      <c r="A58" s="1">
        <v>9</v>
      </c>
      <c r="B58" s="2" t="s">
        <v>54</v>
      </c>
      <c r="C58" s="3">
        <v>399</v>
      </c>
      <c r="D58" s="3">
        <v>0</v>
      </c>
      <c r="E58" s="3">
        <v>4</v>
      </c>
      <c r="F58" s="3">
        <f t="shared" si="1"/>
        <v>395</v>
      </c>
      <c r="G58" s="3">
        <v>395</v>
      </c>
      <c r="H58" s="3">
        <f t="shared" si="0"/>
        <v>0</v>
      </c>
      <c r="I58" s="21">
        <f t="shared" si="4"/>
        <v>0</v>
      </c>
    </row>
    <row r="59" spans="1:9" ht="13.5">
      <c r="A59" s="1">
        <v>10</v>
      </c>
      <c r="B59" s="2" t="s">
        <v>55</v>
      </c>
      <c r="C59" s="3">
        <v>3652</v>
      </c>
      <c r="D59" s="3">
        <v>16</v>
      </c>
      <c r="E59" s="3">
        <v>56</v>
      </c>
      <c r="F59" s="3">
        <f t="shared" si="1"/>
        <v>3580</v>
      </c>
      <c r="G59" s="3">
        <v>4096</v>
      </c>
      <c r="H59" s="3">
        <f t="shared" si="0"/>
        <v>-516</v>
      </c>
      <c r="I59" s="21">
        <f t="shared" si="4"/>
        <v>177.7982181555502</v>
      </c>
    </row>
    <row r="60" spans="1:9" ht="13.5">
      <c r="A60" s="1">
        <v>11</v>
      </c>
      <c r="B60" s="2" t="s">
        <v>56</v>
      </c>
      <c r="C60" s="3">
        <v>295</v>
      </c>
      <c r="D60" s="3">
        <v>1</v>
      </c>
      <c r="E60" s="3">
        <v>3</v>
      </c>
      <c r="F60" s="3">
        <f t="shared" si="1"/>
        <v>291</v>
      </c>
      <c r="G60" s="3">
        <v>333</v>
      </c>
      <c r="H60" s="3">
        <f t="shared" si="0"/>
        <v>-42</v>
      </c>
      <c r="I60" s="21">
        <f t="shared" si="4"/>
        <v>14.47194798940525</v>
      </c>
    </row>
    <row r="61" spans="1:9" ht="13.5">
      <c r="A61" s="1">
        <v>12</v>
      </c>
      <c r="B61" s="2" t="s">
        <v>57</v>
      </c>
      <c r="C61" s="3">
        <v>412</v>
      </c>
      <c r="D61" s="3">
        <v>3</v>
      </c>
      <c r="E61" s="3">
        <v>4</v>
      </c>
      <c r="F61" s="3">
        <f t="shared" si="1"/>
        <v>405</v>
      </c>
      <c r="G61" s="3">
        <v>477</v>
      </c>
      <c r="H61" s="3">
        <f t="shared" si="0"/>
        <v>-72</v>
      </c>
      <c r="I61" s="21">
        <f t="shared" si="4"/>
        <v>24.809053696123286</v>
      </c>
    </row>
    <row r="62" spans="1:9" ht="13.5">
      <c r="A62" s="1">
        <v>13</v>
      </c>
      <c r="B62" s="2" t="s">
        <v>58</v>
      </c>
      <c r="C62" s="3">
        <v>286</v>
      </c>
      <c r="D62" s="3">
        <v>2</v>
      </c>
      <c r="E62" s="3">
        <v>4</v>
      </c>
      <c r="F62" s="3">
        <f t="shared" si="1"/>
        <v>280</v>
      </c>
      <c r="G62" s="3">
        <v>280</v>
      </c>
      <c r="H62" s="3">
        <f t="shared" si="0"/>
        <v>0</v>
      </c>
      <c r="I62" s="21">
        <f t="shared" si="4"/>
        <v>0</v>
      </c>
    </row>
    <row r="63" spans="1:9" ht="13.5">
      <c r="A63" s="1">
        <v>14</v>
      </c>
      <c r="B63" s="2" t="s">
        <v>59</v>
      </c>
      <c r="C63" s="3">
        <v>504</v>
      </c>
      <c r="D63" s="3">
        <v>4</v>
      </c>
      <c r="E63" s="3">
        <v>14</v>
      </c>
      <c r="F63" s="3">
        <f t="shared" si="1"/>
        <v>486</v>
      </c>
      <c r="G63" s="3">
        <v>606</v>
      </c>
      <c r="H63" s="3">
        <f t="shared" si="0"/>
        <v>-120</v>
      </c>
      <c r="I63" s="21">
        <f t="shared" si="4"/>
        <v>41.34842282687214</v>
      </c>
    </row>
    <row r="64" spans="1:9" ht="13.5">
      <c r="A64" s="1">
        <v>15</v>
      </c>
      <c r="B64" s="2" t="s">
        <v>60</v>
      </c>
      <c r="C64" s="3">
        <v>532</v>
      </c>
      <c r="D64" s="3">
        <v>2</v>
      </c>
      <c r="E64" s="3">
        <v>10</v>
      </c>
      <c r="F64" s="3">
        <f t="shared" si="1"/>
        <v>520</v>
      </c>
      <c r="G64" s="3">
        <v>520</v>
      </c>
      <c r="H64" s="3">
        <f t="shared" si="0"/>
        <v>0</v>
      </c>
      <c r="I64" s="21">
        <f t="shared" si="4"/>
        <v>0</v>
      </c>
    </row>
    <row r="65" spans="1:9" ht="13.5">
      <c r="A65" s="1">
        <v>16</v>
      </c>
      <c r="B65" s="2" t="s">
        <v>61</v>
      </c>
      <c r="C65" s="3">
        <v>521</v>
      </c>
      <c r="D65" s="3">
        <v>2</v>
      </c>
      <c r="E65" s="3">
        <v>8</v>
      </c>
      <c r="F65" s="3">
        <f t="shared" si="1"/>
        <v>511</v>
      </c>
      <c r="G65" s="3">
        <v>511</v>
      </c>
      <c r="H65" s="3">
        <f t="shared" si="0"/>
        <v>0</v>
      </c>
      <c r="I65" s="21">
        <f t="shared" si="4"/>
        <v>0</v>
      </c>
    </row>
    <row r="66" spans="1:9" ht="13.5">
      <c r="A66" s="14" t="s">
        <v>451</v>
      </c>
      <c r="B66" s="15" t="s">
        <v>62</v>
      </c>
      <c r="C66" s="16">
        <f>SUM(C67:C77)</f>
        <v>19675</v>
      </c>
      <c r="D66" s="16">
        <f>SUM(D67:D77)</f>
        <v>31</v>
      </c>
      <c r="E66" s="16">
        <f>SUM(E67:E77)</f>
        <v>101</v>
      </c>
      <c r="F66" s="16">
        <f t="shared" si="1"/>
        <v>19543</v>
      </c>
      <c r="G66" s="16">
        <f>SUM(G67:G77)</f>
        <v>23251</v>
      </c>
      <c r="H66" s="16">
        <f t="shared" si="0"/>
        <v>-3708</v>
      </c>
      <c r="I66" s="23">
        <f>H66/-176206*60700</f>
        <v>1277.343563783299</v>
      </c>
    </row>
    <row r="67" spans="1:9" ht="13.5">
      <c r="A67" s="1">
        <v>1</v>
      </c>
      <c r="B67" s="2" t="s">
        <v>63</v>
      </c>
      <c r="C67" s="3">
        <v>1403</v>
      </c>
      <c r="D67" s="3">
        <v>2</v>
      </c>
      <c r="E67" s="3">
        <v>4</v>
      </c>
      <c r="F67" s="3">
        <f t="shared" si="1"/>
        <v>1397</v>
      </c>
      <c r="G67" s="3">
        <v>1753</v>
      </c>
      <c r="H67" s="3">
        <f t="shared" si="0"/>
        <v>-356</v>
      </c>
      <c r="I67" s="21">
        <f>H67/-3708*1277</f>
        <v>122.60302049622439</v>
      </c>
    </row>
    <row r="68" spans="1:9" ht="13.5">
      <c r="A68" s="1">
        <v>2</v>
      </c>
      <c r="B68" s="2" t="s">
        <v>64</v>
      </c>
      <c r="C68" s="3">
        <v>2901</v>
      </c>
      <c r="D68" s="3">
        <v>2</v>
      </c>
      <c r="E68" s="3">
        <v>10</v>
      </c>
      <c r="F68" s="3">
        <f t="shared" si="1"/>
        <v>2889</v>
      </c>
      <c r="G68" s="3">
        <v>3280</v>
      </c>
      <c r="H68" s="3">
        <f t="shared" si="0"/>
        <v>-391</v>
      </c>
      <c r="I68" s="21">
        <f aca="true" t="shared" si="5" ref="I68:I77">H68/-3708*1277</f>
        <v>134.6566882416397</v>
      </c>
    </row>
    <row r="69" spans="1:9" ht="13.5">
      <c r="A69" s="1">
        <v>3</v>
      </c>
      <c r="B69" s="2" t="s">
        <v>65</v>
      </c>
      <c r="C69" s="3">
        <v>3291</v>
      </c>
      <c r="D69" s="3">
        <v>1</v>
      </c>
      <c r="E69" s="3">
        <v>13</v>
      </c>
      <c r="F69" s="3">
        <f aca="true" t="shared" si="6" ref="F69:F132">C69-E69-D69</f>
        <v>3277</v>
      </c>
      <c r="G69" s="3">
        <v>3841</v>
      </c>
      <c r="H69" s="3">
        <f t="shared" si="0"/>
        <v>-564</v>
      </c>
      <c r="I69" s="21">
        <f t="shared" si="5"/>
        <v>194.23624595469255</v>
      </c>
    </row>
    <row r="70" spans="1:9" ht="13.5">
      <c r="A70" s="1">
        <v>4</v>
      </c>
      <c r="B70" s="2" t="s">
        <v>66</v>
      </c>
      <c r="C70" s="3">
        <v>2456</v>
      </c>
      <c r="D70" s="3">
        <v>8</v>
      </c>
      <c r="E70" s="3">
        <v>16</v>
      </c>
      <c r="F70" s="3">
        <f t="shared" si="6"/>
        <v>2432</v>
      </c>
      <c r="G70" s="3">
        <v>2710</v>
      </c>
      <c r="H70" s="3">
        <f aca="true" t="shared" si="7" ref="H70:H133">F70-G70</f>
        <v>-278</v>
      </c>
      <c r="I70" s="21">
        <f t="shared" si="5"/>
        <v>95.74056094929881</v>
      </c>
    </row>
    <row r="71" spans="1:9" ht="13.5">
      <c r="A71" s="1">
        <v>5</v>
      </c>
      <c r="B71" s="2" t="s">
        <v>67</v>
      </c>
      <c r="C71" s="3">
        <v>813</v>
      </c>
      <c r="D71" s="3">
        <v>0</v>
      </c>
      <c r="E71" s="3">
        <v>6</v>
      </c>
      <c r="F71" s="3">
        <f t="shared" si="6"/>
        <v>807</v>
      </c>
      <c r="G71" s="3">
        <v>1006</v>
      </c>
      <c r="H71" s="3">
        <f t="shared" si="7"/>
        <v>-199</v>
      </c>
      <c r="I71" s="21">
        <f t="shared" si="5"/>
        <v>68.53371089536138</v>
      </c>
    </row>
    <row r="72" spans="1:9" ht="13.5">
      <c r="A72" s="1">
        <v>6</v>
      </c>
      <c r="B72" s="2" t="s">
        <v>68</v>
      </c>
      <c r="C72" s="3">
        <v>1219</v>
      </c>
      <c r="D72" s="3">
        <v>3</v>
      </c>
      <c r="E72" s="3">
        <v>9</v>
      </c>
      <c r="F72" s="3">
        <f t="shared" si="6"/>
        <v>1207</v>
      </c>
      <c r="G72" s="3">
        <v>2022</v>
      </c>
      <c r="H72" s="3">
        <f t="shared" si="7"/>
        <v>-815</v>
      </c>
      <c r="I72" s="21">
        <f t="shared" si="5"/>
        <v>280.67826321467095</v>
      </c>
    </row>
    <row r="73" spans="1:9" ht="13.5">
      <c r="A73" s="1">
        <v>7</v>
      </c>
      <c r="B73" s="2" t="s">
        <v>69</v>
      </c>
      <c r="C73" s="3">
        <v>976</v>
      </c>
      <c r="D73" s="3">
        <v>4</v>
      </c>
      <c r="E73" s="3">
        <v>4</v>
      </c>
      <c r="F73" s="3">
        <f t="shared" si="6"/>
        <v>968</v>
      </c>
      <c r="G73" s="3">
        <v>968</v>
      </c>
      <c r="H73" s="3">
        <f t="shared" si="7"/>
        <v>0</v>
      </c>
      <c r="I73" s="21">
        <f t="shared" si="5"/>
        <v>0</v>
      </c>
    </row>
    <row r="74" spans="1:9" ht="13.5">
      <c r="A74" s="1">
        <v>8</v>
      </c>
      <c r="B74" s="2" t="s">
        <v>70</v>
      </c>
      <c r="C74" s="3">
        <v>951</v>
      </c>
      <c r="D74" s="3">
        <v>2</v>
      </c>
      <c r="E74" s="3">
        <v>3</v>
      </c>
      <c r="F74" s="3">
        <f t="shared" si="6"/>
        <v>946</v>
      </c>
      <c r="G74" s="3">
        <v>1695</v>
      </c>
      <c r="H74" s="3">
        <f t="shared" si="7"/>
        <v>-749</v>
      </c>
      <c r="I74" s="21">
        <f t="shared" si="5"/>
        <v>257.9484897518878</v>
      </c>
    </row>
    <row r="75" spans="1:9" ht="13.5">
      <c r="A75" s="1">
        <v>9</v>
      </c>
      <c r="B75" s="2" t="s">
        <v>71</v>
      </c>
      <c r="C75" s="3">
        <v>2014</v>
      </c>
      <c r="D75" s="3">
        <v>1</v>
      </c>
      <c r="E75" s="3">
        <v>8</v>
      </c>
      <c r="F75" s="3">
        <f t="shared" si="6"/>
        <v>2005</v>
      </c>
      <c r="G75" s="3">
        <v>2049</v>
      </c>
      <c r="H75" s="3">
        <f t="shared" si="7"/>
        <v>-44</v>
      </c>
      <c r="I75" s="21">
        <f t="shared" si="5"/>
        <v>15.153182308522116</v>
      </c>
    </row>
    <row r="76" spans="1:9" ht="13.5">
      <c r="A76" s="1">
        <v>10</v>
      </c>
      <c r="B76" s="2" t="s">
        <v>72</v>
      </c>
      <c r="C76" s="3">
        <v>2871</v>
      </c>
      <c r="D76" s="3">
        <v>7</v>
      </c>
      <c r="E76" s="3">
        <v>22</v>
      </c>
      <c r="F76" s="3">
        <f t="shared" si="6"/>
        <v>2842</v>
      </c>
      <c r="G76" s="3">
        <v>2885</v>
      </c>
      <c r="H76" s="3">
        <f t="shared" si="7"/>
        <v>-43</v>
      </c>
      <c r="I76" s="21">
        <f t="shared" si="5"/>
        <v>14.808791801510248</v>
      </c>
    </row>
    <row r="77" spans="1:9" ht="13.5">
      <c r="A77" s="1">
        <v>11</v>
      </c>
      <c r="B77" s="2" t="s">
        <v>73</v>
      </c>
      <c r="C77" s="3">
        <v>780</v>
      </c>
      <c r="D77" s="3">
        <v>1</v>
      </c>
      <c r="E77" s="3">
        <v>6</v>
      </c>
      <c r="F77" s="3">
        <f t="shared" si="6"/>
        <v>773</v>
      </c>
      <c r="G77" s="3">
        <v>1042</v>
      </c>
      <c r="H77" s="3">
        <f t="shared" si="7"/>
        <v>-269</v>
      </c>
      <c r="I77" s="21">
        <f t="shared" si="5"/>
        <v>92.64104638619202</v>
      </c>
    </row>
    <row r="78" spans="1:9" ht="13.5">
      <c r="A78" s="14" t="s">
        <v>452</v>
      </c>
      <c r="B78" s="15" t="s">
        <v>74</v>
      </c>
      <c r="C78" s="16">
        <f>SUM(C79:C88)</f>
        <v>16798</v>
      </c>
      <c r="D78" s="16">
        <f>SUM(D79:D88)</f>
        <v>25</v>
      </c>
      <c r="E78" s="16">
        <f>SUM(E79:E88)</f>
        <v>110</v>
      </c>
      <c r="F78" s="16">
        <f t="shared" si="6"/>
        <v>16663</v>
      </c>
      <c r="G78" s="16">
        <f>SUM(G79:G88)</f>
        <v>18440</v>
      </c>
      <c r="H78" s="16">
        <f t="shared" si="7"/>
        <v>-1777</v>
      </c>
      <c r="I78" s="23">
        <f>H78/-176206*60700</f>
        <v>612.1465784366027</v>
      </c>
    </row>
    <row r="79" spans="1:9" ht="13.5">
      <c r="A79" s="1">
        <v>1</v>
      </c>
      <c r="B79" s="2" t="s">
        <v>75</v>
      </c>
      <c r="C79" s="3">
        <v>2265</v>
      </c>
      <c r="D79" s="3">
        <v>8</v>
      </c>
      <c r="E79" s="3">
        <v>28</v>
      </c>
      <c r="F79" s="3">
        <f t="shared" si="6"/>
        <v>2229</v>
      </c>
      <c r="G79" s="3">
        <v>2361</v>
      </c>
      <c r="H79" s="3">
        <f t="shared" si="7"/>
        <v>-132</v>
      </c>
      <c r="I79" s="21">
        <f>H79/-1777*612</f>
        <v>45.46088913899832</v>
      </c>
    </row>
    <row r="80" spans="1:9" ht="13.5">
      <c r="A80" s="1">
        <v>2</v>
      </c>
      <c r="B80" s="2" t="s">
        <v>76</v>
      </c>
      <c r="C80" s="3">
        <v>1900</v>
      </c>
      <c r="D80" s="3">
        <v>2</v>
      </c>
      <c r="E80" s="3">
        <v>6</v>
      </c>
      <c r="F80" s="3">
        <f t="shared" si="6"/>
        <v>1892</v>
      </c>
      <c r="G80" s="3">
        <v>1925</v>
      </c>
      <c r="H80" s="3">
        <f t="shared" si="7"/>
        <v>-33</v>
      </c>
      <c r="I80" s="21">
        <f aca="true" t="shared" si="8" ref="I80:I88">H80/-1777*612</f>
        <v>11.36522228474958</v>
      </c>
    </row>
    <row r="81" spans="1:9" ht="13.5">
      <c r="A81" s="1">
        <v>3</v>
      </c>
      <c r="B81" s="2" t="s">
        <v>77</v>
      </c>
      <c r="C81" s="3">
        <v>1341</v>
      </c>
      <c r="D81" s="3">
        <v>3</v>
      </c>
      <c r="E81" s="3">
        <v>9</v>
      </c>
      <c r="F81" s="3">
        <f t="shared" si="6"/>
        <v>1329</v>
      </c>
      <c r="G81" s="3">
        <v>2280</v>
      </c>
      <c r="H81" s="3">
        <f t="shared" si="7"/>
        <v>-951</v>
      </c>
      <c r="I81" s="21">
        <f t="shared" si="8"/>
        <v>327.5250422059651</v>
      </c>
    </row>
    <row r="82" spans="1:9" ht="13.5">
      <c r="A82" s="1">
        <v>4</v>
      </c>
      <c r="B82" s="2" t="s">
        <v>78</v>
      </c>
      <c r="C82" s="3">
        <v>1283</v>
      </c>
      <c r="D82" s="3">
        <v>0</v>
      </c>
      <c r="E82" s="3">
        <v>19</v>
      </c>
      <c r="F82" s="3">
        <f t="shared" si="6"/>
        <v>1264</v>
      </c>
      <c r="G82" s="3">
        <v>1405</v>
      </c>
      <c r="H82" s="3">
        <f t="shared" si="7"/>
        <v>-141</v>
      </c>
      <c r="I82" s="21">
        <f t="shared" si="8"/>
        <v>48.56049521665729</v>
      </c>
    </row>
    <row r="83" spans="1:9" ht="13.5">
      <c r="A83" s="1">
        <v>5</v>
      </c>
      <c r="B83" s="2" t="s">
        <v>79</v>
      </c>
      <c r="C83" s="3">
        <v>1446</v>
      </c>
      <c r="D83" s="3">
        <v>3</v>
      </c>
      <c r="E83" s="3">
        <v>7</v>
      </c>
      <c r="F83" s="3">
        <f t="shared" si="6"/>
        <v>1436</v>
      </c>
      <c r="G83" s="3">
        <v>1530</v>
      </c>
      <c r="H83" s="3">
        <f t="shared" si="7"/>
        <v>-94</v>
      </c>
      <c r="I83" s="21">
        <f t="shared" si="8"/>
        <v>32.37366347777152</v>
      </c>
    </row>
    <row r="84" spans="1:9" ht="13.5">
      <c r="A84" s="1">
        <v>6</v>
      </c>
      <c r="B84" s="2" t="s">
        <v>80</v>
      </c>
      <c r="C84" s="3">
        <v>2079</v>
      </c>
      <c r="D84" s="3">
        <v>4</v>
      </c>
      <c r="E84" s="3">
        <v>9</v>
      </c>
      <c r="F84" s="3">
        <f t="shared" si="6"/>
        <v>2066</v>
      </c>
      <c r="G84" s="3">
        <v>2254</v>
      </c>
      <c r="H84" s="3">
        <f t="shared" si="7"/>
        <v>-188</v>
      </c>
      <c r="I84" s="21">
        <f t="shared" si="8"/>
        <v>64.74732695554304</v>
      </c>
    </row>
    <row r="85" spans="1:9" ht="13.5">
      <c r="A85" s="1">
        <v>7</v>
      </c>
      <c r="B85" s="2" t="s">
        <v>81</v>
      </c>
      <c r="C85" s="3">
        <v>1303</v>
      </c>
      <c r="D85" s="3">
        <v>0</v>
      </c>
      <c r="E85" s="3">
        <v>1</v>
      </c>
      <c r="F85" s="3">
        <f t="shared" si="6"/>
        <v>1302</v>
      </c>
      <c r="G85" s="3">
        <v>1355</v>
      </c>
      <c r="H85" s="3">
        <f t="shared" si="7"/>
        <v>-53</v>
      </c>
      <c r="I85" s="21">
        <f t="shared" si="8"/>
        <v>18.25323579065841</v>
      </c>
    </row>
    <row r="86" spans="1:9" ht="13.5">
      <c r="A86" s="1">
        <v>8</v>
      </c>
      <c r="B86" s="2" t="s">
        <v>82</v>
      </c>
      <c r="C86" s="3">
        <v>1444</v>
      </c>
      <c r="D86" s="3">
        <v>2</v>
      </c>
      <c r="E86" s="3">
        <v>5</v>
      </c>
      <c r="F86" s="3">
        <f t="shared" si="6"/>
        <v>1437</v>
      </c>
      <c r="G86" s="3">
        <v>1539</v>
      </c>
      <c r="H86" s="3">
        <f t="shared" si="7"/>
        <v>-102</v>
      </c>
      <c r="I86" s="21">
        <f t="shared" si="8"/>
        <v>35.12886888013506</v>
      </c>
    </row>
    <row r="87" spans="1:9" ht="13.5">
      <c r="A87" s="1">
        <v>9</v>
      </c>
      <c r="B87" s="2" t="s">
        <v>83</v>
      </c>
      <c r="C87" s="3">
        <v>1636</v>
      </c>
      <c r="D87" s="3">
        <v>1</v>
      </c>
      <c r="E87" s="3">
        <v>6</v>
      </c>
      <c r="F87" s="3">
        <f t="shared" si="6"/>
        <v>1629</v>
      </c>
      <c r="G87" s="3">
        <v>1681</v>
      </c>
      <c r="H87" s="3">
        <f t="shared" si="7"/>
        <v>-52</v>
      </c>
      <c r="I87" s="21">
        <f t="shared" si="8"/>
        <v>17.90883511536297</v>
      </c>
    </row>
    <row r="88" spans="1:9" ht="13.5">
      <c r="A88" s="1">
        <v>10</v>
      </c>
      <c r="B88" s="2" t="s">
        <v>84</v>
      </c>
      <c r="C88" s="3">
        <v>2101</v>
      </c>
      <c r="D88" s="3">
        <v>2</v>
      </c>
      <c r="E88" s="3">
        <v>20</v>
      </c>
      <c r="F88" s="3">
        <f t="shared" si="6"/>
        <v>2079</v>
      </c>
      <c r="G88" s="3">
        <v>2110</v>
      </c>
      <c r="H88" s="3">
        <f t="shared" si="7"/>
        <v>-31</v>
      </c>
      <c r="I88" s="21">
        <f t="shared" si="8"/>
        <v>10.676420934158694</v>
      </c>
    </row>
    <row r="89" spans="1:9" ht="13.5">
      <c r="A89" s="14" t="s">
        <v>453</v>
      </c>
      <c r="B89" s="15" t="s">
        <v>85</v>
      </c>
      <c r="C89" s="16">
        <f>SUM(C90:C100)</f>
        <v>33993</v>
      </c>
      <c r="D89" s="16">
        <f>SUM(D90:D100)</f>
        <v>88</v>
      </c>
      <c r="E89" s="16">
        <f>SUM(E90:E100)</f>
        <v>236</v>
      </c>
      <c r="F89" s="16">
        <f t="shared" si="6"/>
        <v>33669</v>
      </c>
      <c r="G89" s="16">
        <f>SUM(G90:G100)</f>
        <v>45466</v>
      </c>
      <c r="H89" s="16">
        <f t="shared" si="7"/>
        <v>-11797</v>
      </c>
      <c r="I89" s="23">
        <f>H89/-176206*60700</f>
        <v>4063.867859210243</v>
      </c>
    </row>
    <row r="90" spans="1:9" ht="13.5">
      <c r="A90" s="1">
        <v>1</v>
      </c>
      <c r="B90" s="2" t="s">
        <v>86</v>
      </c>
      <c r="C90" s="3">
        <v>5894</v>
      </c>
      <c r="D90" s="3">
        <v>18</v>
      </c>
      <c r="E90" s="3">
        <v>24</v>
      </c>
      <c r="F90" s="3">
        <f t="shared" si="6"/>
        <v>5852</v>
      </c>
      <c r="G90" s="3">
        <v>7417</v>
      </c>
      <c r="H90" s="3">
        <f t="shared" si="7"/>
        <v>-1565</v>
      </c>
      <c r="I90" s="21">
        <f>H90/-11797*4064</f>
        <v>539.1336780537424</v>
      </c>
    </row>
    <row r="91" spans="1:9" ht="13.5">
      <c r="A91" s="1">
        <v>2</v>
      </c>
      <c r="B91" s="2" t="s">
        <v>87</v>
      </c>
      <c r="C91" s="3">
        <v>5789</v>
      </c>
      <c r="D91" s="3">
        <v>13</v>
      </c>
      <c r="E91" s="3">
        <v>44</v>
      </c>
      <c r="F91" s="3">
        <f t="shared" si="6"/>
        <v>5732</v>
      </c>
      <c r="G91" s="3">
        <v>5739</v>
      </c>
      <c r="H91" s="3">
        <f t="shared" si="7"/>
        <v>-7</v>
      </c>
      <c r="I91" s="21">
        <f aca="true" t="shared" si="9" ref="I91:I100">H91/-11797*4064</f>
        <v>2.4114605408154617</v>
      </c>
    </row>
    <row r="92" spans="1:9" ht="13.5">
      <c r="A92" s="1">
        <v>3</v>
      </c>
      <c r="B92" s="2" t="s">
        <v>88</v>
      </c>
      <c r="C92" s="3">
        <v>3085</v>
      </c>
      <c r="D92" s="3">
        <v>8</v>
      </c>
      <c r="E92" s="3">
        <v>29</v>
      </c>
      <c r="F92" s="3">
        <f t="shared" si="6"/>
        <v>3048</v>
      </c>
      <c r="G92" s="3">
        <v>3548</v>
      </c>
      <c r="H92" s="3">
        <f t="shared" si="7"/>
        <v>-500</v>
      </c>
      <c r="I92" s="21">
        <f t="shared" si="9"/>
        <v>172.24718148681868</v>
      </c>
    </row>
    <row r="93" spans="1:9" ht="13.5">
      <c r="A93" s="1">
        <v>4</v>
      </c>
      <c r="B93" s="2" t="s">
        <v>89</v>
      </c>
      <c r="C93" s="3">
        <v>3126</v>
      </c>
      <c r="D93" s="3">
        <v>9</v>
      </c>
      <c r="E93" s="3">
        <v>27</v>
      </c>
      <c r="F93" s="3">
        <f t="shared" si="6"/>
        <v>3090</v>
      </c>
      <c r="G93" s="3">
        <v>4239</v>
      </c>
      <c r="H93" s="3">
        <f t="shared" si="7"/>
        <v>-1149</v>
      </c>
      <c r="I93" s="21">
        <f t="shared" si="9"/>
        <v>395.82402305670934</v>
      </c>
    </row>
    <row r="94" spans="1:9" ht="13.5">
      <c r="A94" s="1">
        <v>5</v>
      </c>
      <c r="B94" s="2" t="s">
        <v>90</v>
      </c>
      <c r="C94" s="3">
        <v>2386</v>
      </c>
      <c r="D94" s="3">
        <v>4</v>
      </c>
      <c r="E94" s="3">
        <v>9</v>
      </c>
      <c r="F94" s="3">
        <f t="shared" si="6"/>
        <v>2373</v>
      </c>
      <c r="G94" s="3">
        <v>3081</v>
      </c>
      <c r="H94" s="3">
        <f t="shared" si="7"/>
        <v>-708</v>
      </c>
      <c r="I94" s="21">
        <f t="shared" si="9"/>
        <v>243.90200898533524</v>
      </c>
    </row>
    <row r="95" spans="1:9" ht="13.5">
      <c r="A95" s="1">
        <v>6</v>
      </c>
      <c r="B95" s="2" t="s">
        <v>91</v>
      </c>
      <c r="C95" s="3">
        <v>2202</v>
      </c>
      <c r="D95" s="3">
        <v>7</v>
      </c>
      <c r="E95" s="3">
        <v>14</v>
      </c>
      <c r="F95" s="3">
        <f t="shared" si="6"/>
        <v>2181</v>
      </c>
      <c r="G95" s="3">
        <v>6827</v>
      </c>
      <c r="H95" s="3">
        <f t="shared" si="7"/>
        <v>-4646</v>
      </c>
      <c r="I95" s="21">
        <f t="shared" si="9"/>
        <v>1600.5208103755192</v>
      </c>
    </row>
    <row r="96" spans="1:9" ht="13.5">
      <c r="A96" s="1">
        <v>7</v>
      </c>
      <c r="B96" s="2" t="s">
        <v>92</v>
      </c>
      <c r="C96" s="3">
        <v>3034</v>
      </c>
      <c r="D96" s="3">
        <v>8</v>
      </c>
      <c r="E96" s="3">
        <v>14</v>
      </c>
      <c r="F96" s="3">
        <f t="shared" si="6"/>
        <v>3012</v>
      </c>
      <c r="G96" s="3">
        <v>3012</v>
      </c>
      <c r="H96" s="3">
        <f t="shared" si="7"/>
        <v>0</v>
      </c>
      <c r="I96" s="21">
        <f t="shared" si="9"/>
        <v>0</v>
      </c>
    </row>
    <row r="97" spans="1:9" ht="13.5">
      <c r="A97" s="1">
        <v>8</v>
      </c>
      <c r="B97" s="2" t="s">
        <v>93</v>
      </c>
      <c r="C97" s="3">
        <v>6099</v>
      </c>
      <c r="D97" s="3">
        <v>15</v>
      </c>
      <c r="E97" s="3">
        <v>55</v>
      </c>
      <c r="F97" s="3">
        <f t="shared" si="6"/>
        <v>6029</v>
      </c>
      <c r="G97" s="3">
        <v>9251</v>
      </c>
      <c r="H97" s="3">
        <f t="shared" si="7"/>
        <v>-3222</v>
      </c>
      <c r="I97" s="21">
        <f t="shared" si="9"/>
        <v>1109.9608375010596</v>
      </c>
    </row>
    <row r="98" spans="1:9" ht="13.5">
      <c r="A98" s="1">
        <v>9</v>
      </c>
      <c r="B98" s="2" t="s">
        <v>94</v>
      </c>
      <c r="C98" s="3">
        <v>585</v>
      </c>
      <c r="D98" s="3">
        <v>4</v>
      </c>
      <c r="E98" s="3">
        <v>5</v>
      </c>
      <c r="F98" s="3">
        <f t="shared" si="6"/>
        <v>576</v>
      </c>
      <c r="G98" s="3">
        <v>576</v>
      </c>
      <c r="H98" s="3">
        <f t="shared" si="7"/>
        <v>0</v>
      </c>
      <c r="I98" s="21">
        <f t="shared" si="9"/>
        <v>0</v>
      </c>
    </row>
    <row r="99" spans="1:9" ht="13.5">
      <c r="A99" s="1">
        <v>10</v>
      </c>
      <c r="B99" s="2" t="s">
        <v>95</v>
      </c>
      <c r="C99" s="3">
        <v>1047</v>
      </c>
      <c r="D99" s="3">
        <v>1</v>
      </c>
      <c r="E99" s="3">
        <v>9</v>
      </c>
      <c r="F99" s="3">
        <f t="shared" si="6"/>
        <v>1037</v>
      </c>
      <c r="G99" s="3">
        <v>1037</v>
      </c>
      <c r="H99" s="3">
        <f t="shared" si="7"/>
        <v>0</v>
      </c>
      <c r="I99" s="21">
        <f t="shared" si="9"/>
        <v>0</v>
      </c>
    </row>
    <row r="100" spans="1:9" ht="13.5">
      <c r="A100" s="1">
        <v>11</v>
      </c>
      <c r="B100" s="2" t="s">
        <v>96</v>
      </c>
      <c r="C100" s="3">
        <v>746</v>
      </c>
      <c r="D100" s="3">
        <v>1</v>
      </c>
      <c r="E100" s="3">
        <v>6</v>
      </c>
      <c r="F100" s="3">
        <f t="shared" si="6"/>
        <v>739</v>
      </c>
      <c r="G100" s="3">
        <v>739</v>
      </c>
      <c r="H100" s="3">
        <f t="shared" si="7"/>
        <v>0</v>
      </c>
      <c r="I100" s="21">
        <f t="shared" si="9"/>
        <v>0</v>
      </c>
    </row>
    <row r="101" spans="1:9" ht="13.5">
      <c r="A101" s="14" t="s">
        <v>454</v>
      </c>
      <c r="B101" s="15" t="s">
        <v>97</v>
      </c>
      <c r="C101" s="16">
        <f>SUM(C102:C108)</f>
        <v>10797</v>
      </c>
      <c r="D101" s="16">
        <f>SUM(D102:D108)</f>
        <v>15</v>
      </c>
      <c r="E101" s="16">
        <f>SUM(E102:E108)</f>
        <v>49</v>
      </c>
      <c r="F101" s="16">
        <f t="shared" si="6"/>
        <v>10733</v>
      </c>
      <c r="G101" s="16">
        <f>SUM(G102:G108)</f>
        <v>11576</v>
      </c>
      <c r="H101" s="16">
        <f t="shared" si="7"/>
        <v>-843</v>
      </c>
      <c r="I101" s="23">
        <f>H101/-176206*60700</f>
        <v>290.39930535850084</v>
      </c>
    </row>
    <row r="102" spans="1:9" ht="13.5">
      <c r="A102" s="1">
        <v>1</v>
      </c>
      <c r="B102" s="2" t="s">
        <v>98</v>
      </c>
      <c r="C102" s="3">
        <v>3574</v>
      </c>
      <c r="D102" s="3">
        <v>6</v>
      </c>
      <c r="E102" s="3">
        <v>12</v>
      </c>
      <c r="F102" s="3">
        <f t="shared" si="6"/>
        <v>3556</v>
      </c>
      <c r="G102" s="3">
        <v>3556</v>
      </c>
      <c r="H102" s="3">
        <f t="shared" si="7"/>
        <v>0</v>
      </c>
      <c r="I102" s="21">
        <f aca="true" t="shared" si="10" ref="I102:I108">H102/-843*290</f>
        <v>0</v>
      </c>
    </row>
    <row r="103" spans="1:9" ht="13.5">
      <c r="A103" s="1">
        <v>2</v>
      </c>
      <c r="B103" s="2" t="s">
        <v>99</v>
      </c>
      <c r="C103" s="3">
        <v>3037</v>
      </c>
      <c r="D103" s="3">
        <v>7</v>
      </c>
      <c r="E103" s="3">
        <v>21</v>
      </c>
      <c r="F103" s="3">
        <f t="shared" si="6"/>
        <v>3009</v>
      </c>
      <c r="G103" s="3">
        <v>3461</v>
      </c>
      <c r="H103" s="3">
        <f t="shared" si="7"/>
        <v>-452</v>
      </c>
      <c r="I103" s="21">
        <f t="shared" si="10"/>
        <v>155.49228944246738</v>
      </c>
    </row>
    <row r="104" spans="1:9" ht="13.5">
      <c r="A104" s="1">
        <v>3</v>
      </c>
      <c r="B104" s="2" t="s">
        <v>100</v>
      </c>
      <c r="C104" s="3">
        <v>2979</v>
      </c>
      <c r="D104" s="3">
        <v>2</v>
      </c>
      <c r="E104" s="3">
        <v>10</v>
      </c>
      <c r="F104" s="3">
        <f t="shared" si="6"/>
        <v>2967</v>
      </c>
      <c r="G104" s="3">
        <v>3324</v>
      </c>
      <c r="H104" s="3">
        <f t="shared" si="7"/>
        <v>-357</v>
      </c>
      <c r="I104" s="21">
        <f t="shared" si="10"/>
        <v>122.81138790035588</v>
      </c>
    </row>
    <row r="105" spans="1:9" ht="13.5">
      <c r="A105" s="1">
        <v>4</v>
      </c>
      <c r="B105" s="2" t="s">
        <v>101</v>
      </c>
      <c r="C105" s="3">
        <v>0</v>
      </c>
      <c r="D105" s="3"/>
      <c r="E105" s="3"/>
      <c r="F105" s="3"/>
      <c r="G105" s="3"/>
      <c r="H105" s="3">
        <f t="shared" si="7"/>
        <v>0</v>
      </c>
      <c r="I105" s="21">
        <f t="shared" si="10"/>
        <v>0</v>
      </c>
    </row>
    <row r="106" spans="1:9" ht="13.5">
      <c r="A106" s="1">
        <v>5</v>
      </c>
      <c r="B106" s="2" t="s">
        <v>102</v>
      </c>
      <c r="C106" s="3">
        <v>3</v>
      </c>
      <c r="D106" s="3">
        <v>0</v>
      </c>
      <c r="E106" s="3">
        <v>0</v>
      </c>
      <c r="F106" s="3">
        <f t="shared" si="6"/>
        <v>3</v>
      </c>
      <c r="G106" s="3">
        <v>3</v>
      </c>
      <c r="H106" s="3">
        <f t="shared" si="7"/>
        <v>0</v>
      </c>
      <c r="I106" s="21">
        <f t="shared" si="10"/>
        <v>0</v>
      </c>
    </row>
    <row r="107" spans="1:9" ht="13.5">
      <c r="A107" s="1">
        <v>6</v>
      </c>
      <c r="B107" s="2" t="s">
        <v>103</v>
      </c>
      <c r="C107" s="3">
        <v>1</v>
      </c>
      <c r="D107" s="3"/>
      <c r="E107" s="3"/>
      <c r="F107" s="3"/>
      <c r="G107" s="3"/>
      <c r="H107" s="3">
        <f t="shared" si="7"/>
        <v>0</v>
      </c>
      <c r="I107" s="21">
        <f t="shared" si="10"/>
        <v>0</v>
      </c>
    </row>
    <row r="108" spans="1:9" ht="13.5">
      <c r="A108" s="1">
        <v>7</v>
      </c>
      <c r="B108" s="2" t="s">
        <v>104</v>
      </c>
      <c r="C108" s="3">
        <v>1203</v>
      </c>
      <c r="D108" s="3">
        <v>0</v>
      </c>
      <c r="E108" s="3">
        <v>6</v>
      </c>
      <c r="F108" s="3">
        <f t="shared" si="6"/>
        <v>1197</v>
      </c>
      <c r="G108" s="3">
        <v>1232</v>
      </c>
      <c r="H108" s="3">
        <f t="shared" si="7"/>
        <v>-35</v>
      </c>
      <c r="I108" s="21">
        <f t="shared" si="10"/>
        <v>12.040332147093713</v>
      </c>
    </row>
    <row r="109" spans="1:9" ht="13.5">
      <c r="A109" s="14" t="s">
        <v>455</v>
      </c>
      <c r="B109" s="15" t="s">
        <v>105</v>
      </c>
      <c r="C109" s="16">
        <f>SUM(C110:C119)</f>
        <v>36163</v>
      </c>
      <c r="D109" s="16">
        <f>SUM(D110:D119)</f>
        <v>117</v>
      </c>
      <c r="E109" s="16">
        <f>SUM(E110:E119)</f>
        <v>205</v>
      </c>
      <c r="F109" s="16">
        <f t="shared" si="6"/>
        <v>35841</v>
      </c>
      <c r="G109" s="16">
        <f>SUM(G110:G119)</f>
        <v>40645</v>
      </c>
      <c r="H109" s="16">
        <f t="shared" si="7"/>
        <v>-4804</v>
      </c>
      <c r="I109" s="23">
        <f>H109/-176206*60700</f>
        <v>1654.8971090655257</v>
      </c>
    </row>
    <row r="110" spans="1:9" ht="13.5">
      <c r="A110" s="1">
        <v>1</v>
      </c>
      <c r="B110" s="2" t="s">
        <v>106</v>
      </c>
      <c r="C110" s="3">
        <v>6037</v>
      </c>
      <c r="D110" s="3">
        <v>13</v>
      </c>
      <c r="E110" s="3">
        <v>38</v>
      </c>
      <c r="F110" s="3">
        <f t="shared" si="6"/>
        <v>5986</v>
      </c>
      <c r="G110" s="3">
        <v>6808</v>
      </c>
      <c r="H110" s="3">
        <f t="shared" si="7"/>
        <v>-822</v>
      </c>
      <c r="I110" s="21">
        <f>H110/4804*-1655</f>
        <v>283.1827643630308</v>
      </c>
    </row>
    <row r="111" spans="1:9" ht="13.5">
      <c r="A111" s="1">
        <v>2</v>
      </c>
      <c r="B111" s="2" t="s">
        <v>107</v>
      </c>
      <c r="C111" s="3">
        <v>6308</v>
      </c>
      <c r="D111" s="3">
        <v>16</v>
      </c>
      <c r="E111" s="3">
        <v>30</v>
      </c>
      <c r="F111" s="3">
        <f t="shared" si="6"/>
        <v>6262</v>
      </c>
      <c r="G111" s="3">
        <v>6564</v>
      </c>
      <c r="H111" s="3">
        <f t="shared" si="7"/>
        <v>-302</v>
      </c>
      <c r="I111" s="21">
        <f aca="true" t="shared" si="11" ref="I111:I119">H111/4804*-1655</f>
        <v>104.04038301415487</v>
      </c>
    </row>
    <row r="112" spans="1:9" ht="13.5">
      <c r="A112" s="1">
        <v>3</v>
      </c>
      <c r="B112" s="2" t="s">
        <v>108</v>
      </c>
      <c r="C112" s="3">
        <v>3400</v>
      </c>
      <c r="D112" s="3">
        <v>12</v>
      </c>
      <c r="E112" s="3">
        <v>15</v>
      </c>
      <c r="F112" s="3">
        <f t="shared" si="6"/>
        <v>3373</v>
      </c>
      <c r="G112" s="3">
        <v>3647</v>
      </c>
      <c r="H112" s="3">
        <f t="shared" si="7"/>
        <v>-274</v>
      </c>
      <c r="I112" s="21">
        <f t="shared" si="11"/>
        <v>94.39425478767694</v>
      </c>
    </row>
    <row r="113" spans="1:9" ht="13.5">
      <c r="A113" s="1">
        <v>4</v>
      </c>
      <c r="B113" s="2" t="s">
        <v>109</v>
      </c>
      <c r="C113" s="3">
        <v>2044</v>
      </c>
      <c r="D113" s="3">
        <v>6</v>
      </c>
      <c r="E113" s="3">
        <v>22</v>
      </c>
      <c r="F113" s="3">
        <f t="shared" si="6"/>
        <v>2016</v>
      </c>
      <c r="G113" s="3">
        <v>2440</v>
      </c>
      <c r="H113" s="3">
        <f t="shared" si="7"/>
        <v>-424</v>
      </c>
      <c r="I113" s="21">
        <f t="shared" si="11"/>
        <v>146.0699417152373</v>
      </c>
    </row>
    <row r="114" spans="1:9" ht="13.5">
      <c r="A114" s="1">
        <v>5</v>
      </c>
      <c r="B114" s="2" t="s">
        <v>110</v>
      </c>
      <c r="C114" s="3">
        <v>5104</v>
      </c>
      <c r="D114" s="3">
        <v>20</v>
      </c>
      <c r="E114" s="3">
        <v>34</v>
      </c>
      <c r="F114" s="3">
        <f t="shared" si="6"/>
        <v>5050</v>
      </c>
      <c r="G114" s="3">
        <v>5547</v>
      </c>
      <c r="H114" s="3">
        <f t="shared" si="7"/>
        <v>-497</v>
      </c>
      <c r="I114" s="21">
        <f t="shared" si="11"/>
        <v>171.21877601998335</v>
      </c>
    </row>
    <row r="115" spans="1:9" ht="13.5">
      <c r="A115" s="1">
        <v>6</v>
      </c>
      <c r="B115" s="2" t="s">
        <v>111</v>
      </c>
      <c r="C115" s="3">
        <v>2887</v>
      </c>
      <c r="D115" s="3">
        <v>1</v>
      </c>
      <c r="E115" s="3">
        <v>10</v>
      </c>
      <c r="F115" s="3">
        <f t="shared" si="6"/>
        <v>2876</v>
      </c>
      <c r="G115" s="3">
        <v>3238</v>
      </c>
      <c r="H115" s="3">
        <f t="shared" si="7"/>
        <v>-362</v>
      </c>
      <c r="I115" s="21">
        <f t="shared" si="11"/>
        <v>124.71065778517902</v>
      </c>
    </row>
    <row r="116" spans="1:9" ht="13.5">
      <c r="A116" s="1">
        <v>7</v>
      </c>
      <c r="B116" s="2" t="s">
        <v>112</v>
      </c>
      <c r="C116" s="3">
        <v>1739</v>
      </c>
      <c r="D116" s="3">
        <v>7</v>
      </c>
      <c r="E116" s="3">
        <v>8</v>
      </c>
      <c r="F116" s="3">
        <f t="shared" si="6"/>
        <v>1724</v>
      </c>
      <c r="G116" s="3">
        <v>2466</v>
      </c>
      <c r="H116" s="3">
        <f t="shared" si="7"/>
        <v>-742</v>
      </c>
      <c r="I116" s="21">
        <f t="shared" si="11"/>
        <v>255.62239800166526</v>
      </c>
    </row>
    <row r="117" spans="1:9" ht="13.5">
      <c r="A117" s="1">
        <v>8</v>
      </c>
      <c r="B117" s="2" t="s">
        <v>113</v>
      </c>
      <c r="C117" s="3">
        <v>4855</v>
      </c>
      <c r="D117" s="3">
        <v>13</v>
      </c>
      <c r="E117" s="3">
        <v>20</v>
      </c>
      <c r="F117" s="3">
        <f t="shared" si="6"/>
        <v>4822</v>
      </c>
      <c r="G117" s="3">
        <v>5478</v>
      </c>
      <c r="H117" s="3">
        <f t="shared" si="7"/>
        <v>-656</v>
      </c>
      <c r="I117" s="21">
        <f t="shared" si="11"/>
        <v>225.99500416319734</v>
      </c>
    </row>
    <row r="118" spans="1:9" ht="13.5">
      <c r="A118" s="1">
        <v>9</v>
      </c>
      <c r="B118" s="2" t="s">
        <v>114</v>
      </c>
      <c r="C118" s="3">
        <v>3056</v>
      </c>
      <c r="D118" s="3">
        <v>23</v>
      </c>
      <c r="E118" s="3">
        <v>24</v>
      </c>
      <c r="F118" s="3">
        <f t="shared" si="6"/>
        <v>3009</v>
      </c>
      <c r="G118" s="3">
        <v>3023</v>
      </c>
      <c r="H118" s="3">
        <f t="shared" si="7"/>
        <v>-14</v>
      </c>
      <c r="I118" s="21">
        <f t="shared" si="11"/>
        <v>4.823064113238968</v>
      </c>
    </row>
    <row r="119" spans="1:9" ht="13.5">
      <c r="A119" s="1">
        <v>10</v>
      </c>
      <c r="B119" s="2" t="s">
        <v>115</v>
      </c>
      <c r="C119" s="3">
        <v>733</v>
      </c>
      <c r="D119" s="3">
        <v>6</v>
      </c>
      <c r="E119" s="3">
        <v>4</v>
      </c>
      <c r="F119" s="3">
        <f t="shared" si="6"/>
        <v>723</v>
      </c>
      <c r="G119" s="3">
        <v>1434</v>
      </c>
      <c r="H119" s="3">
        <f t="shared" si="7"/>
        <v>-711</v>
      </c>
      <c r="I119" s="21">
        <f t="shared" si="11"/>
        <v>244.94275603663613</v>
      </c>
    </row>
    <row r="120" spans="1:9" ht="13.5">
      <c r="A120" s="14" t="s">
        <v>456</v>
      </c>
      <c r="B120" s="15" t="s">
        <v>116</v>
      </c>
      <c r="C120" s="16">
        <f>SUM(C121:C127)</f>
        <v>5127</v>
      </c>
      <c r="D120" s="16">
        <f>SUM(D121:D127)</f>
        <v>9</v>
      </c>
      <c r="E120" s="16">
        <f>SUM(E121:E127)</f>
        <v>19</v>
      </c>
      <c r="F120" s="16">
        <f t="shared" si="6"/>
        <v>5099</v>
      </c>
      <c r="G120" s="16">
        <f>SUM(G121:G127)</f>
        <v>7010</v>
      </c>
      <c r="H120" s="16">
        <f t="shared" si="7"/>
        <v>-1911</v>
      </c>
      <c r="I120" s="23">
        <f>H120/-176206*60700</f>
        <v>658.3073221116193</v>
      </c>
    </row>
    <row r="121" spans="1:9" ht="13.5">
      <c r="A121" s="1">
        <v>1</v>
      </c>
      <c r="B121" s="2" t="s">
        <v>117</v>
      </c>
      <c r="C121" s="3">
        <v>2227</v>
      </c>
      <c r="D121" s="3">
        <v>2</v>
      </c>
      <c r="E121" s="3">
        <v>9</v>
      </c>
      <c r="F121" s="3">
        <f t="shared" si="6"/>
        <v>2216</v>
      </c>
      <c r="G121" s="3">
        <v>3794</v>
      </c>
      <c r="H121" s="3">
        <f t="shared" si="7"/>
        <v>-1578</v>
      </c>
      <c r="I121" s="21">
        <f>H121/-1911*658</f>
        <v>543.3406593406593</v>
      </c>
    </row>
    <row r="122" spans="1:9" ht="13.5">
      <c r="A122" s="1">
        <v>2</v>
      </c>
      <c r="B122" s="2" t="s">
        <v>118</v>
      </c>
      <c r="C122" s="3">
        <v>282</v>
      </c>
      <c r="D122" s="3">
        <v>0</v>
      </c>
      <c r="E122" s="3">
        <v>0</v>
      </c>
      <c r="F122" s="3">
        <f t="shared" si="6"/>
        <v>282</v>
      </c>
      <c r="G122" s="3">
        <v>282</v>
      </c>
      <c r="H122" s="3">
        <f t="shared" si="7"/>
        <v>0</v>
      </c>
      <c r="I122" s="21">
        <f aca="true" t="shared" si="12" ref="I122:I127">H122/-1911*658</f>
        <v>0</v>
      </c>
    </row>
    <row r="123" spans="1:9" ht="13.5">
      <c r="A123" s="1">
        <v>3</v>
      </c>
      <c r="B123" s="2" t="s">
        <v>119</v>
      </c>
      <c r="C123" s="3">
        <v>250</v>
      </c>
      <c r="D123" s="3">
        <v>0</v>
      </c>
      <c r="E123" s="3">
        <v>0</v>
      </c>
      <c r="F123" s="3">
        <f t="shared" si="6"/>
        <v>250</v>
      </c>
      <c r="G123" s="3">
        <v>250</v>
      </c>
      <c r="H123" s="3">
        <f t="shared" si="7"/>
        <v>0</v>
      </c>
      <c r="I123" s="21">
        <f t="shared" si="12"/>
        <v>0</v>
      </c>
    </row>
    <row r="124" spans="1:9" ht="13.5">
      <c r="A124" s="1">
        <v>4</v>
      </c>
      <c r="B124" s="2" t="s">
        <v>120</v>
      </c>
      <c r="C124" s="3">
        <v>188</v>
      </c>
      <c r="D124" s="3">
        <v>0</v>
      </c>
      <c r="E124" s="3">
        <v>0</v>
      </c>
      <c r="F124" s="3">
        <f t="shared" si="6"/>
        <v>188</v>
      </c>
      <c r="G124" s="3">
        <v>188</v>
      </c>
      <c r="H124" s="3">
        <f t="shared" si="7"/>
        <v>0</v>
      </c>
      <c r="I124" s="21">
        <f t="shared" si="12"/>
        <v>0</v>
      </c>
    </row>
    <row r="125" spans="1:9" ht="13.5">
      <c r="A125" s="1">
        <v>5</v>
      </c>
      <c r="B125" s="2" t="s">
        <v>121</v>
      </c>
      <c r="C125" s="3">
        <v>1453</v>
      </c>
      <c r="D125" s="3">
        <v>6</v>
      </c>
      <c r="E125" s="3">
        <v>9</v>
      </c>
      <c r="F125" s="3">
        <f t="shared" si="6"/>
        <v>1438</v>
      </c>
      <c r="G125" s="3">
        <v>1771</v>
      </c>
      <c r="H125" s="3">
        <f t="shared" si="7"/>
        <v>-333</v>
      </c>
      <c r="I125" s="21">
        <f t="shared" si="12"/>
        <v>114.65934065934066</v>
      </c>
    </row>
    <row r="126" spans="1:9" ht="13.5">
      <c r="A126" s="1">
        <v>6</v>
      </c>
      <c r="B126" s="2" t="s">
        <v>122</v>
      </c>
      <c r="C126" s="3">
        <v>0</v>
      </c>
      <c r="D126" s="3"/>
      <c r="E126" s="3"/>
      <c r="F126" s="3"/>
      <c r="G126" s="3"/>
      <c r="H126" s="3">
        <f t="shared" si="7"/>
        <v>0</v>
      </c>
      <c r="I126" s="21">
        <f t="shared" si="12"/>
        <v>0</v>
      </c>
    </row>
    <row r="127" spans="1:9" ht="13.5">
      <c r="A127" s="1">
        <v>7</v>
      </c>
      <c r="B127" s="2" t="s">
        <v>123</v>
      </c>
      <c r="C127" s="3">
        <v>727</v>
      </c>
      <c r="D127" s="3">
        <v>1</v>
      </c>
      <c r="E127" s="3">
        <v>1</v>
      </c>
      <c r="F127" s="3">
        <f t="shared" si="6"/>
        <v>725</v>
      </c>
      <c r="G127" s="3">
        <v>725</v>
      </c>
      <c r="H127" s="3">
        <f t="shared" si="7"/>
        <v>0</v>
      </c>
      <c r="I127" s="21">
        <f t="shared" si="12"/>
        <v>0</v>
      </c>
    </row>
    <row r="128" spans="1:9" ht="13.5">
      <c r="A128" s="14" t="s">
        <v>457</v>
      </c>
      <c r="B128" s="15" t="s">
        <v>124</v>
      </c>
      <c r="C128" s="16">
        <f>SUM(C129:C133)</f>
        <v>3672</v>
      </c>
      <c r="D128" s="16">
        <f>SUM(D129:D133)</f>
        <v>13</v>
      </c>
      <c r="E128" s="16">
        <f>SUM(E129:E133)</f>
        <v>30</v>
      </c>
      <c r="F128" s="16">
        <f t="shared" si="6"/>
        <v>3629</v>
      </c>
      <c r="G128" s="16">
        <f>SUM(G129:G133)</f>
        <v>4351</v>
      </c>
      <c r="H128" s="16">
        <f t="shared" si="7"/>
        <v>-722</v>
      </c>
      <c r="I128" s="23">
        <f>H128/-176206*60700</f>
        <v>248.71684278628425</v>
      </c>
    </row>
    <row r="129" spans="1:9" ht="13.5">
      <c r="A129" s="1">
        <v>1</v>
      </c>
      <c r="B129" s="2" t="s">
        <v>125</v>
      </c>
      <c r="C129" s="3">
        <v>1145</v>
      </c>
      <c r="D129" s="3">
        <v>4</v>
      </c>
      <c r="E129" s="3">
        <v>9</v>
      </c>
      <c r="F129" s="3">
        <f t="shared" si="6"/>
        <v>1132</v>
      </c>
      <c r="G129" s="3">
        <v>1132</v>
      </c>
      <c r="H129" s="3">
        <f t="shared" si="7"/>
        <v>0</v>
      </c>
      <c r="I129" s="21">
        <f>H129/-722*249</f>
        <v>0</v>
      </c>
    </row>
    <row r="130" spans="1:9" ht="13.5">
      <c r="A130" s="1">
        <v>2</v>
      </c>
      <c r="B130" s="2" t="s">
        <v>126</v>
      </c>
      <c r="C130" s="3">
        <v>747</v>
      </c>
      <c r="D130" s="3">
        <v>3</v>
      </c>
      <c r="E130" s="3">
        <v>3</v>
      </c>
      <c r="F130" s="3">
        <f t="shared" si="6"/>
        <v>741</v>
      </c>
      <c r="G130" s="3">
        <v>796</v>
      </c>
      <c r="H130" s="3">
        <f t="shared" si="7"/>
        <v>-55</v>
      </c>
      <c r="I130" s="21">
        <f>H130/-722*249</f>
        <v>18.968144044321328</v>
      </c>
    </row>
    <row r="131" spans="1:9" ht="13.5">
      <c r="A131" s="1">
        <v>3</v>
      </c>
      <c r="B131" s="2" t="s">
        <v>127</v>
      </c>
      <c r="C131" s="3">
        <v>604</v>
      </c>
      <c r="D131" s="3">
        <v>4</v>
      </c>
      <c r="E131" s="3">
        <v>8</v>
      </c>
      <c r="F131" s="3">
        <f t="shared" si="6"/>
        <v>592</v>
      </c>
      <c r="G131" s="3">
        <v>925</v>
      </c>
      <c r="H131" s="3">
        <f t="shared" si="7"/>
        <v>-333</v>
      </c>
      <c r="I131" s="21">
        <f>H131/-722*249</f>
        <v>114.84349030470914</v>
      </c>
    </row>
    <row r="132" spans="1:9" ht="13.5">
      <c r="A132" s="1">
        <v>4</v>
      </c>
      <c r="B132" s="2" t="s">
        <v>128</v>
      </c>
      <c r="C132" s="3">
        <v>483</v>
      </c>
      <c r="D132" s="3">
        <v>1</v>
      </c>
      <c r="E132" s="3">
        <v>3</v>
      </c>
      <c r="F132" s="3">
        <f t="shared" si="6"/>
        <v>479</v>
      </c>
      <c r="G132" s="3">
        <v>813</v>
      </c>
      <c r="H132" s="3">
        <f t="shared" si="7"/>
        <v>-334</v>
      </c>
      <c r="I132" s="21">
        <f>H132/-722*249</f>
        <v>115.18836565096953</v>
      </c>
    </row>
    <row r="133" spans="1:9" ht="13.5">
      <c r="A133" s="1">
        <v>5</v>
      </c>
      <c r="B133" s="2" t="s">
        <v>129</v>
      </c>
      <c r="C133" s="3">
        <v>693</v>
      </c>
      <c r="D133" s="3">
        <v>1</v>
      </c>
      <c r="E133" s="3">
        <v>7</v>
      </c>
      <c r="F133" s="3">
        <f aca="true" t="shared" si="13" ref="F133:F190">C133-E133-D133</f>
        <v>685</v>
      </c>
      <c r="G133" s="3">
        <v>685</v>
      </c>
      <c r="H133" s="3">
        <f t="shared" si="7"/>
        <v>0</v>
      </c>
      <c r="I133" s="21">
        <f>H133/-722*249</f>
        <v>0</v>
      </c>
    </row>
    <row r="134" spans="1:9" ht="13.5">
      <c r="A134" s="14" t="s">
        <v>458</v>
      </c>
      <c r="B134" s="15" t="s">
        <v>130</v>
      </c>
      <c r="C134" s="16">
        <v>23582</v>
      </c>
      <c r="D134" s="16">
        <v>148</v>
      </c>
      <c r="E134" s="16">
        <v>323</v>
      </c>
      <c r="F134" s="16">
        <f t="shared" si="13"/>
        <v>23111</v>
      </c>
      <c r="G134" s="16">
        <v>25797</v>
      </c>
      <c r="H134" s="16">
        <f aca="true" t="shared" si="14" ref="H134:H197">F134-G134</f>
        <v>-2686</v>
      </c>
      <c r="I134" s="23">
        <f>H134/-176206*60700</f>
        <v>925.281772470858</v>
      </c>
    </row>
    <row r="135" spans="1:9" ht="13.5">
      <c r="A135" s="14" t="s">
        <v>459</v>
      </c>
      <c r="B135" s="15" t="s">
        <v>131</v>
      </c>
      <c r="C135" s="16">
        <f>SUM(C136:C160)</f>
        <v>127453</v>
      </c>
      <c r="D135" s="16">
        <f>SUM(D136:D160)</f>
        <v>331</v>
      </c>
      <c r="E135" s="16">
        <f>SUM(E136:E160)</f>
        <v>637</v>
      </c>
      <c r="F135" s="16">
        <f t="shared" si="13"/>
        <v>126485</v>
      </c>
      <c r="G135" s="16">
        <f>SUM(G136:G160)</f>
        <v>140192</v>
      </c>
      <c r="H135" s="16">
        <f t="shared" si="14"/>
        <v>-13707</v>
      </c>
      <c r="I135" s="23">
        <f>H135/-176206*60700</f>
        <v>4721.830698160108</v>
      </c>
    </row>
    <row r="136" spans="1:9" ht="13.5">
      <c r="A136" s="1">
        <v>1</v>
      </c>
      <c r="B136" s="2" t="s">
        <v>132</v>
      </c>
      <c r="C136" s="3">
        <v>8706</v>
      </c>
      <c r="D136" s="3">
        <v>19</v>
      </c>
      <c r="E136" s="3">
        <v>35</v>
      </c>
      <c r="F136" s="3">
        <f t="shared" si="13"/>
        <v>8652</v>
      </c>
      <c r="G136" s="3">
        <v>10958</v>
      </c>
      <c r="H136" s="3">
        <f t="shared" si="14"/>
        <v>-2306</v>
      </c>
      <c r="I136" s="21">
        <f>H136/-13707*4722</f>
        <v>794.4066535346903</v>
      </c>
    </row>
    <row r="137" spans="1:9" ht="13.5">
      <c r="A137" s="1">
        <v>2</v>
      </c>
      <c r="B137" s="2" t="s">
        <v>133</v>
      </c>
      <c r="C137" s="3">
        <v>6729</v>
      </c>
      <c r="D137" s="3">
        <v>8</v>
      </c>
      <c r="E137" s="3">
        <v>22</v>
      </c>
      <c r="F137" s="3">
        <f t="shared" si="13"/>
        <v>6699</v>
      </c>
      <c r="G137" s="3">
        <v>7254</v>
      </c>
      <c r="H137" s="3">
        <f t="shared" si="14"/>
        <v>-555</v>
      </c>
      <c r="I137" s="21">
        <f>H137/-13707*4722</f>
        <v>191.19500984898227</v>
      </c>
    </row>
    <row r="138" spans="1:9" ht="13.5">
      <c r="A138" s="1">
        <v>3</v>
      </c>
      <c r="B138" s="2" t="s">
        <v>134</v>
      </c>
      <c r="C138" s="3">
        <v>7034</v>
      </c>
      <c r="D138" s="3">
        <v>14</v>
      </c>
      <c r="E138" s="3">
        <v>15</v>
      </c>
      <c r="F138" s="3">
        <f t="shared" si="13"/>
        <v>7005</v>
      </c>
      <c r="G138" s="3">
        <v>8130</v>
      </c>
      <c r="H138" s="3">
        <f t="shared" si="14"/>
        <v>-1125</v>
      </c>
      <c r="I138" s="21">
        <f aca="true" t="shared" si="15" ref="I138:I160">H138/-13707*4722</f>
        <v>387.5574523965857</v>
      </c>
    </row>
    <row r="139" spans="1:9" ht="13.5">
      <c r="A139" s="1">
        <v>4</v>
      </c>
      <c r="B139" s="2" t="s">
        <v>135</v>
      </c>
      <c r="C139" s="3">
        <v>14760</v>
      </c>
      <c r="D139" s="3">
        <v>41</v>
      </c>
      <c r="E139" s="3">
        <v>65</v>
      </c>
      <c r="F139" s="3">
        <f t="shared" si="13"/>
        <v>14654</v>
      </c>
      <c r="G139" s="3">
        <v>17362</v>
      </c>
      <c r="H139" s="3">
        <f t="shared" si="14"/>
        <v>-2708</v>
      </c>
      <c r="I139" s="21">
        <f t="shared" si="15"/>
        <v>932.8938498577369</v>
      </c>
    </row>
    <row r="140" spans="1:9" ht="13.5">
      <c r="A140" s="1">
        <v>5</v>
      </c>
      <c r="B140" s="2" t="s">
        <v>136</v>
      </c>
      <c r="C140" s="3">
        <v>8908</v>
      </c>
      <c r="D140" s="3">
        <v>31</v>
      </c>
      <c r="E140" s="3">
        <v>47</v>
      </c>
      <c r="F140" s="3">
        <f t="shared" si="13"/>
        <v>8830</v>
      </c>
      <c r="G140" s="3">
        <v>9658</v>
      </c>
      <c r="H140" s="3">
        <f t="shared" si="14"/>
        <v>-828</v>
      </c>
      <c r="I140" s="21">
        <f t="shared" si="15"/>
        <v>285.2422849638871</v>
      </c>
    </row>
    <row r="141" spans="1:9" ht="13.5">
      <c r="A141" s="1">
        <v>6</v>
      </c>
      <c r="B141" s="2" t="s">
        <v>137</v>
      </c>
      <c r="C141" s="3">
        <v>7321</v>
      </c>
      <c r="D141" s="3">
        <v>16</v>
      </c>
      <c r="E141" s="3">
        <v>45</v>
      </c>
      <c r="F141" s="3">
        <f t="shared" si="13"/>
        <v>7260</v>
      </c>
      <c r="G141" s="3">
        <v>7260</v>
      </c>
      <c r="H141" s="3">
        <f t="shared" si="14"/>
        <v>0</v>
      </c>
      <c r="I141" s="21">
        <f t="shared" si="15"/>
        <v>0</v>
      </c>
    </row>
    <row r="142" spans="1:9" ht="13.5">
      <c r="A142" s="1">
        <v>7</v>
      </c>
      <c r="B142" s="2" t="s">
        <v>138</v>
      </c>
      <c r="C142" s="3">
        <v>8735</v>
      </c>
      <c r="D142" s="3">
        <v>16</v>
      </c>
      <c r="E142" s="3">
        <v>39</v>
      </c>
      <c r="F142" s="3">
        <f t="shared" si="13"/>
        <v>8680</v>
      </c>
      <c r="G142" s="3">
        <v>9021</v>
      </c>
      <c r="H142" s="3">
        <f t="shared" si="14"/>
        <v>-341</v>
      </c>
      <c r="I142" s="21">
        <f t="shared" si="15"/>
        <v>117.47297001532064</v>
      </c>
    </row>
    <row r="143" spans="1:9" ht="13.5">
      <c r="A143" s="1">
        <v>8</v>
      </c>
      <c r="B143" s="2" t="s">
        <v>139</v>
      </c>
      <c r="C143" s="3">
        <v>4438</v>
      </c>
      <c r="D143" s="3">
        <v>16</v>
      </c>
      <c r="E143" s="3">
        <v>28</v>
      </c>
      <c r="F143" s="3">
        <f t="shared" si="13"/>
        <v>4394</v>
      </c>
      <c r="G143" s="3">
        <v>4394</v>
      </c>
      <c r="H143" s="3">
        <f t="shared" si="14"/>
        <v>0</v>
      </c>
      <c r="I143" s="21">
        <f t="shared" si="15"/>
        <v>0</v>
      </c>
    </row>
    <row r="144" spans="1:9" ht="13.5">
      <c r="A144" s="1">
        <v>9</v>
      </c>
      <c r="B144" s="2" t="s">
        <v>140</v>
      </c>
      <c r="C144" s="3">
        <v>6491</v>
      </c>
      <c r="D144" s="3">
        <v>14</v>
      </c>
      <c r="E144" s="3">
        <v>24</v>
      </c>
      <c r="F144" s="3">
        <f t="shared" si="13"/>
        <v>6453</v>
      </c>
      <c r="G144" s="3">
        <v>6899</v>
      </c>
      <c r="H144" s="3">
        <f t="shared" si="14"/>
        <v>-446</v>
      </c>
      <c r="I144" s="21">
        <f t="shared" si="15"/>
        <v>153.64499890566861</v>
      </c>
    </row>
    <row r="145" spans="1:9" ht="13.5">
      <c r="A145" s="1">
        <v>10</v>
      </c>
      <c r="B145" s="2" t="s">
        <v>141</v>
      </c>
      <c r="C145" s="3">
        <v>4977</v>
      </c>
      <c r="D145" s="3">
        <v>22</v>
      </c>
      <c r="E145" s="3">
        <v>34</v>
      </c>
      <c r="F145" s="3">
        <f t="shared" si="13"/>
        <v>4921</v>
      </c>
      <c r="G145" s="3">
        <v>4921</v>
      </c>
      <c r="H145" s="3">
        <f t="shared" si="14"/>
        <v>0</v>
      </c>
      <c r="I145" s="21">
        <f t="shared" si="15"/>
        <v>0</v>
      </c>
    </row>
    <row r="146" spans="1:9" ht="13.5">
      <c r="A146" s="1">
        <v>11</v>
      </c>
      <c r="B146" s="2" t="s">
        <v>142</v>
      </c>
      <c r="C146" s="3">
        <v>5190</v>
      </c>
      <c r="D146" s="3">
        <v>9</v>
      </c>
      <c r="E146" s="3">
        <v>17</v>
      </c>
      <c r="F146" s="3">
        <f t="shared" si="13"/>
        <v>5164</v>
      </c>
      <c r="G146" s="3">
        <v>5164</v>
      </c>
      <c r="H146" s="3">
        <f t="shared" si="14"/>
        <v>0</v>
      </c>
      <c r="I146" s="21">
        <f t="shared" si="15"/>
        <v>0</v>
      </c>
    </row>
    <row r="147" spans="1:9" ht="13.5">
      <c r="A147" s="1">
        <v>12</v>
      </c>
      <c r="B147" s="2" t="s">
        <v>143</v>
      </c>
      <c r="C147" s="3">
        <v>5617</v>
      </c>
      <c r="D147" s="3">
        <v>4</v>
      </c>
      <c r="E147" s="3">
        <v>9</v>
      </c>
      <c r="F147" s="3">
        <f t="shared" si="13"/>
        <v>5604</v>
      </c>
      <c r="G147" s="3">
        <v>6148</v>
      </c>
      <c r="H147" s="3">
        <f t="shared" si="14"/>
        <v>-544</v>
      </c>
      <c r="I147" s="21">
        <f t="shared" si="15"/>
        <v>187.40555920332676</v>
      </c>
    </row>
    <row r="148" spans="1:9" ht="13.5">
      <c r="A148" s="1">
        <v>13</v>
      </c>
      <c r="B148" s="2" t="s">
        <v>144</v>
      </c>
      <c r="C148" s="3">
        <v>5228</v>
      </c>
      <c r="D148" s="3">
        <v>13</v>
      </c>
      <c r="E148" s="3">
        <v>28</v>
      </c>
      <c r="F148" s="3">
        <f t="shared" si="13"/>
        <v>5187</v>
      </c>
      <c r="G148" s="3">
        <v>5334</v>
      </c>
      <c r="H148" s="3">
        <f t="shared" si="14"/>
        <v>-147</v>
      </c>
      <c r="I148" s="21">
        <f t="shared" si="15"/>
        <v>50.640840446487196</v>
      </c>
    </row>
    <row r="149" spans="1:9" ht="13.5">
      <c r="A149" s="1">
        <v>14</v>
      </c>
      <c r="B149" s="2" t="s">
        <v>145</v>
      </c>
      <c r="C149" s="3">
        <v>2679</v>
      </c>
      <c r="D149" s="3">
        <v>7</v>
      </c>
      <c r="E149" s="3">
        <v>12</v>
      </c>
      <c r="F149" s="3">
        <f t="shared" si="13"/>
        <v>2660</v>
      </c>
      <c r="G149" s="3">
        <v>3111</v>
      </c>
      <c r="H149" s="3">
        <f t="shared" si="14"/>
        <v>-451</v>
      </c>
      <c r="I149" s="21">
        <f t="shared" si="15"/>
        <v>155.3674764718757</v>
      </c>
    </row>
    <row r="150" spans="1:9" ht="13.5">
      <c r="A150" s="1">
        <v>15</v>
      </c>
      <c r="B150" s="2" t="s">
        <v>146</v>
      </c>
      <c r="C150" s="3">
        <v>5972</v>
      </c>
      <c r="D150" s="3">
        <v>18</v>
      </c>
      <c r="E150" s="3">
        <v>30</v>
      </c>
      <c r="F150" s="3">
        <f t="shared" si="13"/>
        <v>5924</v>
      </c>
      <c r="G150" s="3">
        <v>5924</v>
      </c>
      <c r="H150" s="3">
        <f t="shared" si="14"/>
        <v>0</v>
      </c>
      <c r="I150" s="21">
        <f t="shared" si="15"/>
        <v>0</v>
      </c>
    </row>
    <row r="151" spans="1:9" ht="13.5">
      <c r="A151" s="1">
        <v>16</v>
      </c>
      <c r="B151" s="2" t="s">
        <v>147</v>
      </c>
      <c r="C151" s="3">
        <v>3539</v>
      </c>
      <c r="D151" s="3">
        <v>7</v>
      </c>
      <c r="E151" s="3">
        <v>13</v>
      </c>
      <c r="F151" s="3">
        <f t="shared" si="13"/>
        <v>3519</v>
      </c>
      <c r="G151" s="3">
        <v>4566</v>
      </c>
      <c r="H151" s="3">
        <f t="shared" si="14"/>
        <v>-1047</v>
      </c>
      <c r="I151" s="21">
        <f t="shared" si="15"/>
        <v>360.68680236375576</v>
      </c>
    </row>
    <row r="152" spans="1:9" ht="13.5">
      <c r="A152" s="1">
        <v>17</v>
      </c>
      <c r="B152" s="2" t="s">
        <v>148</v>
      </c>
      <c r="C152" s="3">
        <v>2494</v>
      </c>
      <c r="D152" s="3">
        <v>7</v>
      </c>
      <c r="E152" s="3">
        <v>17</v>
      </c>
      <c r="F152" s="3">
        <f t="shared" si="13"/>
        <v>2470</v>
      </c>
      <c r="G152" s="3">
        <v>2607</v>
      </c>
      <c r="H152" s="3">
        <f t="shared" si="14"/>
        <v>-137</v>
      </c>
      <c r="I152" s="21">
        <f t="shared" si="15"/>
        <v>47.1958853140731</v>
      </c>
    </row>
    <row r="153" spans="1:9" ht="13.5">
      <c r="A153" s="1">
        <v>18</v>
      </c>
      <c r="B153" s="2" t="s">
        <v>149</v>
      </c>
      <c r="C153" s="3">
        <v>1141</v>
      </c>
      <c r="D153" s="3">
        <v>5</v>
      </c>
      <c r="E153" s="3">
        <v>6</v>
      </c>
      <c r="F153" s="3">
        <f t="shared" si="13"/>
        <v>1130</v>
      </c>
      <c r="G153" s="3">
        <v>1271</v>
      </c>
      <c r="H153" s="3">
        <f t="shared" si="14"/>
        <v>-141</v>
      </c>
      <c r="I153" s="21">
        <f t="shared" si="15"/>
        <v>48.57386736703874</v>
      </c>
    </row>
    <row r="154" spans="1:9" ht="13.5">
      <c r="A154" s="1">
        <v>19</v>
      </c>
      <c r="B154" s="2" t="s">
        <v>150</v>
      </c>
      <c r="C154" s="3">
        <v>6792</v>
      </c>
      <c r="D154" s="3">
        <v>46</v>
      </c>
      <c r="E154" s="3">
        <v>90</v>
      </c>
      <c r="F154" s="3">
        <f t="shared" si="13"/>
        <v>6656</v>
      </c>
      <c r="G154" s="3">
        <v>7097</v>
      </c>
      <c r="H154" s="3">
        <f t="shared" si="14"/>
        <v>-441</v>
      </c>
      <c r="I154" s="21">
        <f t="shared" si="15"/>
        <v>151.92252133946158</v>
      </c>
    </row>
    <row r="155" spans="1:9" ht="13.5">
      <c r="A155" s="1">
        <v>20</v>
      </c>
      <c r="B155" s="2" t="s">
        <v>151</v>
      </c>
      <c r="C155" s="3">
        <v>994</v>
      </c>
      <c r="D155" s="3">
        <v>5</v>
      </c>
      <c r="E155" s="3">
        <v>16</v>
      </c>
      <c r="F155" s="3">
        <f t="shared" si="13"/>
        <v>973</v>
      </c>
      <c r="G155" s="3">
        <v>1154</v>
      </c>
      <c r="H155" s="3">
        <f t="shared" si="14"/>
        <v>-181</v>
      </c>
      <c r="I155" s="21">
        <f t="shared" si="15"/>
        <v>62.35368789669512</v>
      </c>
    </row>
    <row r="156" spans="1:9" ht="13.5">
      <c r="A156" s="1">
        <v>21</v>
      </c>
      <c r="B156" s="2" t="s">
        <v>152</v>
      </c>
      <c r="C156" s="3">
        <v>2993</v>
      </c>
      <c r="D156" s="3">
        <v>1</v>
      </c>
      <c r="E156" s="3">
        <v>7</v>
      </c>
      <c r="F156" s="3">
        <f t="shared" si="13"/>
        <v>2985</v>
      </c>
      <c r="G156" s="3">
        <v>4808</v>
      </c>
      <c r="H156" s="3">
        <f t="shared" si="14"/>
        <v>-1823</v>
      </c>
      <c r="I156" s="21">
        <f t="shared" si="15"/>
        <v>628.0153206390895</v>
      </c>
    </row>
    <row r="157" spans="1:9" ht="13.5">
      <c r="A157" s="1">
        <v>22</v>
      </c>
      <c r="B157" s="2" t="s">
        <v>153</v>
      </c>
      <c r="C157" s="3">
        <v>2695</v>
      </c>
      <c r="D157" s="3">
        <v>5</v>
      </c>
      <c r="E157" s="3">
        <v>13</v>
      </c>
      <c r="F157" s="3">
        <f t="shared" si="13"/>
        <v>2677</v>
      </c>
      <c r="G157" s="3">
        <v>3163</v>
      </c>
      <c r="H157" s="3">
        <f t="shared" si="14"/>
        <v>-486</v>
      </c>
      <c r="I157" s="21">
        <f t="shared" si="15"/>
        <v>167.42481943532502</v>
      </c>
    </row>
    <row r="158" spans="1:9" ht="13.5">
      <c r="A158" s="1">
        <v>23</v>
      </c>
      <c r="B158" s="2" t="s">
        <v>154</v>
      </c>
      <c r="C158" s="3">
        <v>1674</v>
      </c>
      <c r="D158" s="3">
        <v>3</v>
      </c>
      <c r="E158" s="3">
        <v>15</v>
      </c>
      <c r="F158" s="3">
        <f t="shared" si="13"/>
        <v>1656</v>
      </c>
      <c r="G158" s="3">
        <v>1656</v>
      </c>
      <c r="H158" s="3">
        <f t="shared" si="14"/>
        <v>0</v>
      </c>
      <c r="I158" s="21">
        <f t="shared" si="15"/>
        <v>0</v>
      </c>
    </row>
    <row r="159" spans="1:9" ht="13.5">
      <c r="A159" s="1">
        <v>24</v>
      </c>
      <c r="B159" s="2" t="s">
        <v>155</v>
      </c>
      <c r="C159" s="3">
        <v>2345</v>
      </c>
      <c r="D159" s="3">
        <v>4</v>
      </c>
      <c r="E159" s="3">
        <v>10</v>
      </c>
      <c r="F159" s="3">
        <f t="shared" si="13"/>
        <v>2331</v>
      </c>
      <c r="G159" s="3">
        <v>2331</v>
      </c>
      <c r="H159" s="3">
        <f t="shared" si="14"/>
        <v>0</v>
      </c>
      <c r="I159" s="21">
        <f t="shared" si="15"/>
        <v>0</v>
      </c>
    </row>
    <row r="160" spans="1:9" ht="13.5">
      <c r="A160" s="1">
        <v>25</v>
      </c>
      <c r="B160" s="2" t="s">
        <v>156</v>
      </c>
      <c r="C160" s="3">
        <v>1</v>
      </c>
      <c r="D160" s="3">
        <v>0</v>
      </c>
      <c r="E160" s="3">
        <v>0</v>
      </c>
      <c r="F160" s="3">
        <f t="shared" si="13"/>
        <v>1</v>
      </c>
      <c r="G160" s="3">
        <v>1</v>
      </c>
      <c r="H160" s="3">
        <f t="shared" si="14"/>
        <v>0</v>
      </c>
      <c r="I160" s="21">
        <f t="shared" si="15"/>
        <v>0</v>
      </c>
    </row>
    <row r="161" spans="1:9" ht="13.5">
      <c r="A161" s="14" t="s">
        <v>460</v>
      </c>
      <c r="B161" s="15" t="s">
        <v>157</v>
      </c>
      <c r="C161" s="16">
        <f>SUM(C162:C196)</f>
        <v>146051</v>
      </c>
      <c r="D161" s="16">
        <f>SUM(D162:D196)</f>
        <v>732</v>
      </c>
      <c r="E161" s="16">
        <f>SUM(E162:E196)</f>
        <v>1686</v>
      </c>
      <c r="F161" s="16">
        <f t="shared" si="13"/>
        <v>143633</v>
      </c>
      <c r="G161" s="16">
        <f>SUM(G162:G196)</f>
        <v>158201</v>
      </c>
      <c r="H161" s="16">
        <f t="shared" si="14"/>
        <v>-14568</v>
      </c>
      <c r="I161" s="23">
        <f>H161/-176206*60700</f>
        <v>5018.430700430178</v>
      </c>
    </row>
    <row r="162" spans="1:9" ht="13.5">
      <c r="A162" s="1">
        <v>1</v>
      </c>
      <c r="B162" s="2" t="s">
        <v>158</v>
      </c>
      <c r="C162" s="3">
        <v>7279</v>
      </c>
      <c r="D162" s="3">
        <v>38</v>
      </c>
      <c r="E162" s="3">
        <v>79</v>
      </c>
      <c r="F162" s="3">
        <f t="shared" si="13"/>
        <v>7162</v>
      </c>
      <c r="G162" s="3">
        <v>8268</v>
      </c>
      <c r="H162" s="3">
        <f t="shared" si="14"/>
        <v>-1106</v>
      </c>
      <c r="I162" s="21">
        <f>H162/-14568*5018</f>
        <v>380.96567819879186</v>
      </c>
    </row>
    <row r="163" spans="1:9" ht="13.5">
      <c r="A163" s="1">
        <v>2</v>
      </c>
      <c r="B163" s="2" t="s">
        <v>159</v>
      </c>
      <c r="C163" s="3">
        <v>6390</v>
      </c>
      <c r="D163" s="3">
        <v>46</v>
      </c>
      <c r="E163" s="3">
        <v>81</v>
      </c>
      <c r="F163" s="3">
        <f t="shared" si="13"/>
        <v>6263</v>
      </c>
      <c r="G163" s="3">
        <v>7059</v>
      </c>
      <c r="H163" s="3">
        <f t="shared" si="14"/>
        <v>-796</v>
      </c>
      <c r="I163" s="21">
        <f aca="true" t="shared" si="16" ref="I163:I196">H163/-14568*5018</f>
        <v>274.1850631521142</v>
      </c>
    </row>
    <row r="164" spans="1:9" ht="13.5">
      <c r="A164" s="1">
        <v>3</v>
      </c>
      <c r="B164" s="2" t="s">
        <v>160</v>
      </c>
      <c r="C164" s="3">
        <v>3849</v>
      </c>
      <c r="D164" s="3">
        <v>14</v>
      </c>
      <c r="E164" s="3">
        <v>26</v>
      </c>
      <c r="F164" s="3">
        <f t="shared" si="13"/>
        <v>3809</v>
      </c>
      <c r="G164" s="3">
        <v>4125</v>
      </c>
      <c r="H164" s="3">
        <f t="shared" si="14"/>
        <v>-316</v>
      </c>
      <c r="I164" s="21">
        <f t="shared" si="16"/>
        <v>108.84733662822624</v>
      </c>
    </row>
    <row r="165" spans="1:9" ht="13.5">
      <c r="A165" s="1">
        <v>4</v>
      </c>
      <c r="B165" s="2" t="s">
        <v>161</v>
      </c>
      <c r="C165" s="3">
        <v>4652</v>
      </c>
      <c r="D165" s="3">
        <v>16</v>
      </c>
      <c r="E165" s="3">
        <v>37</v>
      </c>
      <c r="F165" s="3">
        <f t="shared" si="13"/>
        <v>4599</v>
      </c>
      <c r="G165" s="3">
        <v>4866</v>
      </c>
      <c r="H165" s="3">
        <f t="shared" si="14"/>
        <v>-267</v>
      </c>
      <c r="I165" s="21">
        <f t="shared" si="16"/>
        <v>91.96911037891267</v>
      </c>
    </row>
    <row r="166" spans="1:9" ht="13.5">
      <c r="A166" s="1">
        <v>5</v>
      </c>
      <c r="B166" s="2" t="s">
        <v>162</v>
      </c>
      <c r="C166" s="3">
        <v>6083</v>
      </c>
      <c r="D166" s="3">
        <v>52</v>
      </c>
      <c r="E166" s="3">
        <v>153</v>
      </c>
      <c r="F166" s="3">
        <f t="shared" si="13"/>
        <v>5878</v>
      </c>
      <c r="G166" s="3">
        <v>6788</v>
      </c>
      <c r="H166" s="3">
        <f t="shared" si="14"/>
        <v>-910</v>
      </c>
      <c r="I166" s="21">
        <f t="shared" si="16"/>
        <v>313.45277320153764</v>
      </c>
    </row>
    <row r="167" spans="1:9" ht="13.5">
      <c r="A167" s="1">
        <v>6</v>
      </c>
      <c r="B167" s="2" t="s">
        <v>163</v>
      </c>
      <c r="C167" s="3">
        <v>4604</v>
      </c>
      <c r="D167" s="3">
        <v>35</v>
      </c>
      <c r="E167" s="3">
        <v>77</v>
      </c>
      <c r="F167" s="3">
        <f t="shared" si="13"/>
        <v>4492</v>
      </c>
      <c r="G167" s="3">
        <v>4492</v>
      </c>
      <c r="H167" s="3">
        <f t="shared" si="14"/>
        <v>0</v>
      </c>
      <c r="I167" s="21">
        <f t="shared" si="16"/>
        <v>0</v>
      </c>
    </row>
    <row r="168" spans="1:9" ht="13.5">
      <c r="A168" s="1">
        <v>7</v>
      </c>
      <c r="B168" s="2" t="s">
        <v>164</v>
      </c>
      <c r="C168" s="3">
        <v>3445</v>
      </c>
      <c r="D168" s="3">
        <v>14</v>
      </c>
      <c r="E168" s="3">
        <v>29</v>
      </c>
      <c r="F168" s="3">
        <f t="shared" si="13"/>
        <v>3402</v>
      </c>
      <c r="G168" s="3">
        <v>3677</v>
      </c>
      <c r="H168" s="3">
        <f t="shared" si="14"/>
        <v>-275</v>
      </c>
      <c r="I168" s="21">
        <f t="shared" si="16"/>
        <v>94.72473915431083</v>
      </c>
    </row>
    <row r="169" spans="1:9" ht="13.5">
      <c r="A169" s="1">
        <v>8</v>
      </c>
      <c r="B169" s="2" t="s">
        <v>165</v>
      </c>
      <c r="C169" s="3">
        <v>5592</v>
      </c>
      <c r="D169" s="3">
        <v>32</v>
      </c>
      <c r="E169" s="3">
        <v>105</v>
      </c>
      <c r="F169" s="3">
        <f t="shared" si="13"/>
        <v>5455</v>
      </c>
      <c r="G169" s="3">
        <v>5801</v>
      </c>
      <c r="H169" s="3">
        <f t="shared" si="14"/>
        <v>-346</v>
      </c>
      <c r="I169" s="21">
        <f t="shared" si="16"/>
        <v>119.18094453596925</v>
      </c>
    </row>
    <row r="170" spans="1:9" ht="13.5">
      <c r="A170" s="1">
        <v>9</v>
      </c>
      <c r="B170" s="2" t="s">
        <v>166</v>
      </c>
      <c r="C170" s="3">
        <v>5030</v>
      </c>
      <c r="D170" s="3">
        <v>32</v>
      </c>
      <c r="E170" s="3">
        <v>58</v>
      </c>
      <c r="F170" s="3">
        <f t="shared" si="13"/>
        <v>4940</v>
      </c>
      <c r="G170" s="3">
        <v>5066</v>
      </c>
      <c r="H170" s="3">
        <f t="shared" si="14"/>
        <v>-126</v>
      </c>
      <c r="I170" s="21">
        <f t="shared" si="16"/>
        <v>43.40115321252059</v>
      </c>
    </row>
    <row r="171" spans="1:9" ht="13.5">
      <c r="A171" s="1">
        <v>10</v>
      </c>
      <c r="B171" s="2" t="s">
        <v>167</v>
      </c>
      <c r="C171" s="3">
        <v>7012</v>
      </c>
      <c r="D171" s="3">
        <v>60</v>
      </c>
      <c r="E171" s="3">
        <v>132</v>
      </c>
      <c r="F171" s="3">
        <f t="shared" si="13"/>
        <v>6820</v>
      </c>
      <c r="G171" s="3">
        <v>7563</v>
      </c>
      <c r="H171" s="3">
        <f t="shared" si="14"/>
        <v>-743</v>
      </c>
      <c r="I171" s="21">
        <f t="shared" si="16"/>
        <v>255.9290225151016</v>
      </c>
    </row>
    <row r="172" spans="1:9" ht="13.5">
      <c r="A172" s="1">
        <v>11</v>
      </c>
      <c r="B172" s="2" t="s">
        <v>168</v>
      </c>
      <c r="C172" s="3">
        <v>4041</v>
      </c>
      <c r="D172" s="3">
        <v>17</v>
      </c>
      <c r="E172" s="3">
        <v>64</v>
      </c>
      <c r="F172" s="3">
        <f t="shared" si="13"/>
        <v>3960</v>
      </c>
      <c r="G172" s="3">
        <v>4499</v>
      </c>
      <c r="H172" s="3">
        <f t="shared" si="14"/>
        <v>-539</v>
      </c>
      <c r="I172" s="21">
        <f t="shared" si="16"/>
        <v>185.6604887424492</v>
      </c>
    </row>
    <row r="173" spans="1:9" ht="13.5">
      <c r="A173" s="1">
        <v>12</v>
      </c>
      <c r="B173" s="2" t="s">
        <v>169</v>
      </c>
      <c r="C173" s="3">
        <v>5834</v>
      </c>
      <c r="D173" s="3">
        <v>45</v>
      </c>
      <c r="E173" s="3">
        <v>118</v>
      </c>
      <c r="F173" s="3">
        <f t="shared" si="13"/>
        <v>5671</v>
      </c>
      <c r="G173" s="3">
        <v>6315</v>
      </c>
      <c r="H173" s="3">
        <f t="shared" si="14"/>
        <v>-644</v>
      </c>
      <c r="I173" s="21">
        <f t="shared" si="16"/>
        <v>221.8281164195497</v>
      </c>
    </row>
    <row r="174" spans="1:9" ht="13.5">
      <c r="A174" s="1">
        <v>13</v>
      </c>
      <c r="B174" s="2" t="s">
        <v>170</v>
      </c>
      <c r="C174" s="3">
        <v>3910</v>
      </c>
      <c r="D174" s="3">
        <v>15</v>
      </c>
      <c r="E174" s="3">
        <v>27</v>
      </c>
      <c r="F174" s="3">
        <f t="shared" si="13"/>
        <v>3868</v>
      </c>
      <c r="G174" s="3">
        <v>4089</v>
      </c>
      <c r="H174" s="3">
        <f t="shared" si="14"/>
        <v>-221</v>
      </c>
      <c r="I174" s="21">
        <f t="shared" si="16"/>
        <v>76.12424492037343</v>
      </c>
    </row>
    <row r="175" spans="1:9" ht="13.5">
      <c r="A175" s="1">
        <v>14</v>
      </c>
      <c r="B175" s="2" t="s">
        <v>171</v>
      </c>
      <c r="C175" s="3">
        <v>4872</v>
      </c>
      <c r="D175" s="3">
        <v>26</v>
      </c>
      <c r="E175" s="3">
        <v>51</v>
      </c>
      <c r="F175" s="3">
        <f t="shared" si="13"/>
        <v>4795</v>
      </c>
      <c r="G175" s="3">
        <v>5121</v>
      </c>
      <c r="H175" s="3">
        <f t="shared" si="14"/>
        <v>-326</v>
      </c>
      <c r="I175" s="21">
        <f t="shared" si="16"/>
        <v>112.29187259747391</v>
      </c>
    </row>
    <row r="176" spans="1:9" ht="13.5">
      <c r="A176" s="1">
        <v>15</v>
      </c>
      <c r="B176" s="2" t="s">
        <v>172</v>
      </c>
      <c r="C176" s="3">
        <v>5543</v>
      </c>
      <c r="D176" s="3">
        <v>24</v>
      </c>
      <c r="E176" s="3">
        <v>72</v>
      </c>
      <c r="F176" s="3">
        <f t="shared" si="13"/>
        <v>5447</v>
      </c>
      <c r="G176" s="3">
        <v>6162</v>
      </c>
      <c r="H176" s="3">
        <f t="shared" si="14"/>
        <v>-715</v>
      </c>
      <c r="I176" s="21">
        <f t="shared" si="16"/>
        <v>246.28432180120814</v>
      </c>
    </row>
    <row r="177" spans="1:9" ht="13.5">
      <c r="A177" s="1">
        <v>16</v>
      </c>
      <c r="B177" s="2" t="s">
        <v>173</v>
      </c>
      <c r="C177" s="3">
        <v>4214</v>
      </c>
      <c r="D177" s="3">
        <v>14</v>
      </c>
      <c r="E177" s="3">
        <v>49</v>
      </c>
      <c r="F177" s="3">
        <f t="shared" si="13"/>
        <v>4151</v>
      </c>
      <c r="G177" s="3">
        <v>4821</v>
      </c>
      <c r="H177" s="3">
        <f t="shared" si="14"/>
        <v>-670</v>
      </c>
      <c r="I177" s="21">
        <f t="shared" si="16"/>
        <v>230.78390993959363</v>
      </c>
    </row>
    <row r="178" spans="1:9" ht="13.5">
      <c r="A178" s="1">
        <v>17</v>
      </c>
      <c r="B178" s="2" t="s">
        <v>174</v>
      </c>
      <c r="C178" s="3">
        <v>3065</v>
      </c>
      <c r="D178" s="3">
        <v>11</v>
      </c>
      <c r="E178" s="3">
        <v>21</v>
      </c>
      <c r="F178" s="3">
        <f t="shared" si="13"/>
        <v>3033</v>
      </c>
      <c r="G178" s="3">
        <v>3203</v>
      </c>
      <c r="H178" s="3">
        <f t="shared" si="14"/>
        <v>-170</v>
      </c>
      <c r="I178" s="21">
        <f t="shared" si="16"/>
        <v>58.55711147721032</v>
      </c>
    </row>
    <row r="179" spans="1:9" ht="13.5">
      <c r="A179" s="1">
        <v>18</v>
      </c>
      <c r="B179" s="2" t="s">
        <v>175</v>
      </c>
      <c r="C179" s="3">
        <v>5298</v>
      </c>
      <c r="D179" s="3">
        <v>23</v>
      </c>
      <c r="E179" s="3">
        <v>62</v>
      </c>
      <c r="F179" s="3">
        <f t="shared" si="13"/>
        <v>5213</v>
      </c>
      <c r="G179" s="3">
        <v>5577</v>
      </c>
      <c r="H179" s="3">
        <f t="shared" si="14"/>
        <v>-364</v>
      </c>
      <c r="I179" s="21">
        <f t="shared" si="16"/>
        <v>125.38110928061504</v>
      </c>
    </row>
    <row r="180" spans="1:9" ht="13.5">
      <c r="A180" s="1">
        <v>19</v>
      </c>
      <c r="B180" s="2" t="s">
        <v>176</v>
      </c>
      <c r="C180" s="3">
        <v>3498</v>
      </c>
      <c r="D180" s="3">
        <v>15</v>
      </c>
      <c r="E180" s="3">
        <v>26</v>
      </c>
      <c r="F180" s="3">
        <f t="shared" si="13"/>
        <v>3457</v>
      </c>
      <c r="G180" s="3">
        <v>3961</v>
      </c>
      <c r="H180" s="3">
        <f t="shared" si="14"/>
        <v>-504</v>
      </c>
      <c r="I180" s="21">
        <f t="shared" si="16"/>
        <v>173.60461285008236</v>
      </c>
    </row>
    <row r="181" spans="1:9" ht="13.5">
      <c r="A181" s="1">
        <v>20</v>
      </c>
      <c r="B181" s="2" t="s">
        <v>177</v>
      </c>
      <c r="C181" s="3">
        <v>4220</v>
      </c>
      <c r="D181" s="3">
        <v>13</v>
      </c>
      <c r="E181" s="3">
        <v>33</v>
      </c>
      <c r="F181" s="3">
        <f t="shared" si="13"/>
        <v>4174</v>
      </c>
      <c r="G181" s="3">
        <v>5046</v>
      </c>
      <c r="H181" s="3">
        <f t="shared" si="14"/>
        <v>-872</v>
      </c>
      <c r="I181" s="21">
        <f t="shared" si="16"/>
        <v>300.3635365183965</v>
      </c>
    </row>
    <row r="182" spans="1:9" ht="13.5">
      <c r="A182" s="1">
        <v>21</v>
      </c>
      <c r="B182" s="2" t="s">
        <v>178</v>
      </c>
      <c r="C182" s="3">
        <v>3814</v>
      </c>
      <c r="D182" s="3">
        <v>7</v>
      </c>
      <c r="E182" s="3">
        <v>17</v>
      </c>
      <c r="F182" s="3">
        <f t="shared" si="13"/>
        <v>3790</v>
      </c>
      <c r="G182" s="3">
        <v>4136</v>
      </c>
      <c r="H182" s="3">
        <f t="shared" si="14"/>
        <v>-346</v>
      </c>
      <c r="I182" s="21">
        <f t="shared" si="16"/>
        <v>119.18094453596925</v>
      </c>
    </row>
    <row r="183" spans="1:9" ht="13.5">
      <c r="A183" s="1">
        <v>22</v>
      </c>
      <c r="B183" s="2" t="s">
        <v>179</v>
      </c>
      <c r="C183" s="3">
        <v>4065</v>
      </c>
      <c r="D183" s="3">
        <v>16</v>
      </c>
      <c r="E183" s="3">
        <v>35</v>
      </c>
      <c r="F183" s="3">
        <f t="shared" si="13"/>
        <v>4014</v>
      </c>
      <c r="G183" s="3">
        <v>4246</v>
      </c>
      <c r="H183" s="3">
        <f t="shared" si="14"/>
        <v>-232</v>
      </c>
      <c r="I183" s="21">
        <f t="shared" si="16"/>
        <v>79.91323448654586</v>
      </c>
    </row>
    <row r="184" spans="1:9" ht="13.5">
      <c r="A184" s="1">
        <v>23</v>
      </c>
      <c r="B184" s="2" t="s">
        <v>180</v>
      </c>
      <c r="C184" s="3">
        <v>3305</v>
      </c>
      <c r="D184" s="3">
        <v>21</v>
      </c>
      <c r="E184" s="3">
        <v>36</v>
      </c>
      <c r="F184" s="3">
        <f t="shared" si="13"/>
        <v>3248</v>
      </c>
      <c r="G184" s="3">
        <v>3500</v>
      </c>
      <c r="H184" s="3">
        <f t="shared" si="14"/>
        <v>-252</v>
      </c>
      <c r="I184" s="21">
        <f t="shared" si="16"/>
        <v>86.80230642504118</v>
      </c>
    </row>
    <row r="185" spans="1:9" ht="13.5">
      <c r="A185" s="1">
        <v>24</v>
      </c>
      <c r="B185" s="2" t="s">
        <v>181</v>
      </c>
      <c r="C185" s="3">
        <v>3885</v>
      </c>
      <c r="D185" s="3">
        <v>11</v>
      </c>
      <c r="E185" s="3">
        <v>34</v>
      </c>
      <c r="F185" s="3">
        <f t="shared" si="13"/>
        <v>3840</v>
      </c>
      <c r="G185" s="3">
        <v>4288</v>
      </c>
      <c r="H185" s="3">
        <f t="shared" si="14"/>
        <v>-448</v>
      </c>
      <c r="I185" s="21">
        <f t="shared" si="16"/>
        <v>154.31521142229545</v>
      </c>
    </row>
    <row r="186" spans="1:9" ht="13.5">
      <c r="A186" s="1">
        <v>25</v>
      </c>
      <c r="B186" s="2" t="s">
        <v>182</v>
      </c>
      <c r="C186" s="3">
        <v>3018</v>
      </c>
      <c r="D186" s="3">
        <v>7</v>
      </c>
      <c r="E186" s="3">
        <v>15</v>
      </c>
      <c r="F186" s="3">
        <f t="shared" si="13"/>
        <v>2996</v>
      </c>
      <c r="G186" s="3">
        <v>3328</v>
      </c>
      <c r="H186" s="3">
        <f t="shared" si="14"/>
        <v>-332</v>
      </c>
      <c r="I186" s="21">
        <f t="shared" si="16"/>
        <v>114.35859417902252</v>
      </c>
    </row>
    <row r="187" spans="1:9" ht="13.5">
      <c r="A187" s="1">
        <v>26</v>
      </c>
      <c r="B187" s="2" t="s">
        <v>183</v>
      </c>
      <c r="C187" s="3">
        <v>3375</v>
      </c>
      <c r="D187" s="3">
        <v>5</v>
      </c>
      <c r="E187" s="3">
        <v>19</v>
      </c>
      <c r="F187" s="3">
        <f t="shared" si="13"/>
        <v>3351</v>
      </c>
      <c r="G187" s="3">
        <v>3598</v>
      </c>
      <c r="H187" s="3">
        <f t="shared" si="14"/>
        <v>-247</v>
      </c>
      <c r="I187" s="21">
        <f t="shared" si="16"/>
        <v>85.08003844041735</v>
      </c>
    </row>
    <row r="188" spans="1:9" ht="13.5">
      <c r="A188" s="1">
        <v>27</v>
      </c>
      <c r="B188" s="2" t="s">
        <v>184</v>
      </c>
      <c r="C188" s="3">
        <v>4870</v>
      </c>
      <c r="D188" s="3">
        <v>23</v>
      </c>
      <c r="E188" s="3">
        <v>33</v>
      </c>
      <c r="F188" s="3">
        <f t="shared" si="13"/>
        <v>4814</v>
      </c>
      <c r="G188" s="3">
        <v>5737</v>
      </c>
      <c r="H188" s="3">
        <f t="shared" si="14"/>
        <v>-923</v>
      </c>
      <c r="I188" s="21">
        <f t="shared" si="16"/>
        <v>317.9306699615596</v>
      </c>
    </row>
    <row r="189" spans="1:9" ht="13.5">
      <c r="A189" s="1">
        <v>28</v>
      </c>
      <c r="B189" s="2" t="s">
        <v>185</v>
      </c>
      <c r="C189" s="3">
        <v>5147</v>
      </c>
      <c r="D189" s="3">
        <v>15</v>
      </c>
      <c r="E189" s="3">
        <v>36</v>
      </c>
      <c r="F189" s="3">
        <f t="shared" si="13"/>
        <v>5096</v>
      </c>
      <c r="G189" s="3">
        <v>5618</v>
      </c>
      <c r="H189" s="3">
        <f t="shared" si="14"/>
        <v>-522</v>
      </c>
      <c r="I189" s="21">
        <f t="shared" si="16"/>
        <v>179.80477759472817</v>
      </c>
    </row>
    <row r="190" spans="1:9" ht="13.5">
      <c r="A190" s="1">
        <v>29</v>
      </c>
      <c r="B190" s="2" t="s">
        <v>186</v>
      </c>
      <c r="C190" s="3">
        <v>6401</v>
      </c>
      <c r="D190" s="3">
        <v>15</v>
      </c>
      <c r="E190" s="3">
        <v>33</v>
      </c>
      <c r="F190" s="3">
        <f t="shared" si="13"/>
        <v>6353</v>
      </c>
      <c r="G190" s="3">
        <v>7171</v>
      </c>
      <c r="H190" s="3">
        <f t="shared" si="14"/>
        <v>-818</v>
      </c>
      <c r="I190" s="21">
        <f t="shared" si="16"/>
        <v>281.7630422844591</v>
      </c>
    </row>
    <row r="191" spans="1:9" ht="13.5">
      <c r="A191" s="1">
        <v>30</v>
      </c>
      <c r="B191" s="2" t="s">
        <v>187</v>
      </c>
      <c r="C191" s="3">
        <v>728</v>
      </c>
      <c r="D191" s="3">
        <v>10</v>
      </c>
      <c r="E191" s="3">
        <v>7</v>
      </c>
      <c r="F191" s="3">
        <f aca="true" t="shared" si="17" ref="F191:F254">C191-E191-D191</f>
        <v>711</v>
      </c>
      <c r="G191" s="3">
        <v>767</v>
      </c>
      <c r="H191" s="3">
        <f t="shared" si="14"/>
        <v>-56</v>
      </c>
      <c r="I191" s="21">
        <f t="shared" si="16"/>
        <v>19.28940142778693</v>
      </c>
    </row>
    <row r="192" spans="1:9" ht="13.5">
      <c r="A192" s="1">
        <v>31</v>
      </c>
      <c r="B192" s="2" t="s">
        <v>188</v>
      </c>
      <c r="C192" s="3">
        <v>2200</v>
      </c>
      <c r="D192" s="3">
        <v>18</v>
      </c>
      <c r="E192" s="3">
        <v>28</v>
      </c>
      <c r="F192" s="3">
        <f t="shared" si="17"/>
        <v>2154</v>
      </c>
      <c r="G192" s="3">
        <v>2154</v>
      </c>
      <c r="H192" s="3">
        <f t="shared" si="14"/>
        <v>0</v>
      </c>
      <c r="I192" s="21">
        <f t="shared" si="16"/>
        <v>0</v>
      </c>
    </row>
    <row r="193" spans="1:9" ht="13.5">
      <c r="A193" s="1">
        <v>32</v>
      </c>
      <c r="B193" s="2" t="s">
        <v>189</v>
      </c>
      <c r="C193" s="3">
        <v>817</v>
      </c>
      <c r="D193" s="3">
        <v>6</v>
      </c>
      <c r="E193" s="3">
        <v>13</v>
      </c>
      <c r="F193" s="3">
        <f t="shared" si="17"/>
        <v>798</v>
      </c>
      <c r="G193" s="3">
        <v>798</v>
      </c>
      <c r="H193" s="3">
        <f t="shared" si="14"/>
        <v>0</v>
      </c>
      <c r="I193" s="21">
        <f t="shared" si="16"/>
        <v>0</v>
      </c>
    </row>
    <row r="194" spans="1:9" ht="13.5">
      <c r="A194" s="1">
        <v>33</v>
      </c>
      <c r="B194" s="2" t="s">
        <v>190</v>
      </c>
      <c r="C194" s="3">
        <v>4094</v>
      </c>
      <c r="D194" s="3">
        <v>29</v>
      </c>
      <c r="E194" s="3">
        <v>62</v>
      </c>
      <c r="F194" s="3">
        <f t="shared" si="17"/>
        <v>4003</v>
      </c>
      <c r="G194" s="3">
        <v>4344</v>
      </c>
      <c r="H194" s="3">
        <f t="shared" si="14"/>
        <v>-341</v>
      </c>
      <c r="I194" s="21">
        <f t="shared" si="16"/>
        <v>117.45867655134542</v>
      </c>
    </row>
    <row r="195" spans="1:9" ht="13.5">
      <c r="A195" s="1">
        <v>34</v>
      </c>
      <c r="B195" s="2" t="s">
        <v>191</v>
      </c>
      <c r="C195" s="3">
        <v>846</v>
      </c>
      <c r="D195" s="3">
        <v>3</v>
      </c>
      <c r="E195" s="3">
        <v>5</v>
      </c>
      <c r="F195" s="3">
        <f t="shared" si="17"/>
        <v>838</v>
      </c>
      <c r="G195" s="3">
        <v>884</v>
      </c>
      <c r="H195" s="3">
        <f t="shared" si="14"/>
        <v>-46</v>
      </c>
      <c r="I195" s="21">
        <f t="shared" si="16"/>
        <v>15.844865458539264</v>
      </c>
    </row>
    <row r="196" spans="1:9" ht="13.5">
      <c r="A196" s="1">
        <v>35</v>
      </c>
      <c r="B196" s="2" t="s">
        <v>192</v>
      </c>
      <c r="C196" s="3">
        <v>1055</v>
      </c>
      <c r="D196" s="3">
        <v>4</v>
      </c>
      <c r="E196" s="3">
        <v>13</v>
      </c>
      <c r="F196" s="3">
        <f t="shared" si="17"/>
        <v>1038</v>
      </c>
      <c r="G196" s="3">
        <v>1133</v>
      </c>
      <c r="H196" s="3">
        <f t="shared" si="14"/>
        <v>-95</v>
      </c>
      <c r="I196" s="21">
        <f t="shared" si="16"/>
        <v>32.72309170785283</v>
      </c>
    </row>
    <row r="197" spans="1:9" ht="13.5">
      <c r="A197" s="14" t="s">
        <v>461</v>
      </c>
      <c r="B197" s="15" t="s">
        <v>193</v>
      </c>
      <c r="C197" s="16">
        <f>SUM(C198:C202)</f>
        <v>16509</v>
      </c>
      <c r="D197" s="16">
        <f>SUM(D198:D202)</f>
        <v>164</v>
      </c>
      <c r="E197" s="16">
        <f>SUM(E198:E202)</f>
        <v>387</v>
      </c>
      <c r="F197" s="16">
        <f t="shared" si="17"/>
        <v>15958</v>
      </c>
      <c r="G197" s="16">
        <f>SUM(G198:G202)</f>
        <v>16190</v>
      </c>
      <c r="H197" s="16">
        <f t="shared" si="14"/>
        <v>-232</v>
      </c>
      <c r="I197" s="23">
        <f>H197/-176206*60700</f>
        <v>79.92009352689466</v>
      </c>
    </row>
    <row r="198" spans="1:9" ht="13.5">
      <c r="A198" s="1">
        <v>1</v>
      </c>
      <c r="B198" s="2" t="s">
        <v>194</v>
      </c>
      <c r="C198" s="3">
        <v>2960</v>
      </c>
      <c r="D198" s="3">
        <v>24</v>
      </c>
      <c r="E198" s="3">
        <v>49</v>
      </c>
      <c r="F198" s="3">
        <f t="shared" si="17"/>
        <v>2887</v>
      </c>
      <c r="G198" s="3">
        <v>2887</v>
      </c>
      <c r="H198" s="3">
        <f aca="true" t="shared" si="18" ref="H198:H261">F198-G198</f>
        <v>0</v>
      </c>
      <c r="I198" s="21">
        <f>H198/-232*80</f>
        <v>0</v>
      </c>
    </row>
    <row r="199" spans="1:9" ht="13.5">
      <c r="A199" s="1">
        <v>2</v>
      </c>
      <c r="B199" s="2" t="s">
        <v>195</v>
      </c>
      <c r="C199" s="3">
        <v>3922</v>
      </c>
      <c r="D199" s="3">
        <v>47</v>
      </c>
      <c r="E199" s="3">
        <v>117</v>
      </c>
      <c r="F199" s="3">
        <f t="shared" si="17"/>
        <v>3758</v>
      </c>
      <c r="G199" s="3">
        <v>3959</v>
      </c>
      <c r="H199" s="3">
        <f t="shared" si="18"/>
        <v>-201</v>
      </c>
      <c r="I199" s="21">
        <f>H199/-232*80</f>
        <v>69.3103448275862</v>
      </c>
    </row>
    <row r="200" spans="1:9" ht="13.5">
      <c r="A200" s="1">
        <v>3</v>
      </c>
      <c r="B200" s="2" t="s">
        <v>196</v>
      </c>
      <c r="C200" s="3">
        <v>3957</v>
      </c>
      <c r="D200" s="3">
        <v>27</v>
      </c>
      <c r="E200" s="3">
        <v>56</v>
      </c>
      <c r="F200" s="3">
        <f t="shared" si="17"/>
        <v>3874</v>
      </c>
      <c r="G200" s="3">
        <v>3874</v>
      </c>
      <c r="H200" s="3">
        <f t="shared" si="18"/>
        <v>0</v>
      </c>
      <c r="I200" s="21">
        <f>H200/-232*80</f>
        <v>0</v>
      </c>
    </row>
    <row r="201" spans="1:9" ht="13.5">
      <c r="A201" s="1">
        <v>4</v>
      </c>
      <c r="B201" s="2" t="s">
        <v>197</v>
      </c>
      <c r="C201" s="3">
        <v>3928</v>
      </c>
      <c r="D201" s="3">
        <v>52</v>
      </c>
      <c r="E201" s="3">
        <v>115</v>
      </c>
      <c r="F201" s="3">
        <f t="shared" si="17"/>
        <v>3761</v>
      </c>
      <c r="G201" s="3">
        <v>3792</v>
      </c>
      <c r="H201" s="3">
        <f t="shared" si="18"/>
        <v>-31</v>
      </c>
      <c r="I201" s="21">
        <f>H201/-232*80</f>
        <v>10.689655172413792</v>
      </c>
    </row>
    <row r="202" spans="1:9" ht="13.5">
      <c r="A202" s="1">
        <v>5</v>
      </c>
      <c r="B202" s="2" t="s">
        <v>198</v>
      </c>
      <c r="C202" s="3">
        <f>1670+72</f>
        <v>1742</v>
      </c>
      <c r="D202" s="3">
        <v>14</v>
      </c>
      <c r="E202" s="3">
        <v>50</v>
      </c>
      <c r="F202" s="3">
        <f t="shared" si="17"/>
        <v>1678</v>
      </c>
      <c r="G202" s="3">
        <v>1678</v>
      </c>
      <c r="H202" s="3">
        <f t="shared" si="18"/>
        <v>0</v>
      </c>
      <c r="I202" s="21">
        <f>H202/-232*80</f>
        <v>0</v>
      </c>
    </row>
    <row r="203" spans="1:9" ht="13.5">
      <c r="A203" s="14" t="s">
        <v>462</v>
      </c>
      <c r="B203" s="15" t="s">
        <v>199</v>
      </c>
      <c r="C203" s="16">
        <f>SUM(C204:C241)</f>
        <v>148492</v>
      </c>
      <c r="D203" s="16">
        <f>SUM(D204:D241)</f>
        <v>551</v>
      </c>
      <c r="E203" s="16">
        <f>SUM(E204:E241)</f>
        <v>1326</v>
      </c>
      <c r="F203" s="16">
        <f t="shared" si="17"/>
        <v>146615</v>
      </c>
      <c r="G203" s="16">
        <f>SUM(G204:G241)</f>
        <v>158949</v>
      </c>
      <c r="H203" s="16">
        <f t="shared" si="18"/>
        <v>-12334</v>
      </c>
      <c r="I203" s="23">
        <f>H203/-176206*60700</f>
        <v>4248.855317072063</v>
      </c>
    </row>
    <row r="204" spans="1:9" ht="13.5">
      <c r="A204" s="1">
        <v>1</v>
      </c>
      <c r="B204" s="2" t="s">
        <v>200</v>
      </c>
      <c r="C204" s="3">
        <v>3213</v>
      </c>
      <c r="D204" s="3">
        <v>11</v>
      </c>
      <c r="E204" s="3">
        <v>21</v>
      </c>
      <c r="F204" s="3">
        <f t="shared" si="17"/>
        <v>3181</v>
      </c>
      <c r="G204" s="3">
        <v>3181</v>
      </c>
      <c r="H204" s="3">
        <f t="shared" si="18"/>
        <v>0</v>
      </c>
      <c r="I204" s="21">
        <f>H204/-54601*18809</f>
        <v>0</v>
      </c>
    </row>
    <row r="205" spans="1:9" ht="13.5">
      <c r="A205" s="1">
        <v>2</v>
      </c>
      <c r="B205" s="2" t="s">
        <v>201</v>
      </c>
      <c r="C205" s="3">
        <v>4649</v>
      </c>
      <c r="D205" s="3">
        <v>23</v>
      </c>
      <c r="E205" s="3">
        <v>53</v>
      </c>
      <c r="F205" s="3">
        <f t="shared" si="17"/>
        <v>4573</v>
      </c>
      <c r="G205" s="3">
        <v>4794</v>
      </c>
      <c r="H205" s="3">
        <f t="shared" si="18"/>
        <v>-221</v>
      </c>
      <c r="I205" s="21">
        <f>H205/-54601*18809</f>
        <v>76.13027233933444</v>
      </c>
    </row>
    <row r="206" spans="1:9" ht="13.5">
      <c r="A206" s="1">
        <v>3</v>
      </c>
      <c r="B206" s="2" t="s">
        <v>202</v>
      </c>
      <c r="C206" s="3">
        <v>4428</v>
      </c>
      <c r="D206" s="3">
        <v>18</v>
      </c>
      <c r="E206" s="3">
        <v>55</v>
      </c>
      <c r="F206" s="3">
        <f t="shared" si="17"/>
        <v>4355</v>
      </c>
      <c r="G206" s="3">
        <v>4568</v>
      </c>
      <c r="H206" s="3">
        <f t="shared" si="18"/>
        <v>-213</v>
      </c>
      <c r="I206" s="21">
        <f aca="true" t="shared" si="19" ref="I206:I241">H206/-54601*18809</f>
        <v>73.3744253768246</v>
      </c>
    </row>
    <row r="207" spans="1:9" ht="13.5">
      <c r="A207" s="1">
        <v>4</v>
      </c>
      <c r="B207" s="2" t="s">
        <v>203</v>
      </c>
      <c r="C207" s="3">
        <v>5562</v>
      </c>
      <c r="D207" s="3">
        <v>32</v>
      </c>
      <c r="E207" s="3">
        <v>81</v>
      </c>
      <c r="F207" s="3">
        <f t="shared" si="17"/>
        <v>5449</v>
      </c>
      <c r="G207" s="3">
        <v>5610</v>
      </c>
      <c r="H207" s="3">
        <f t="shared" si="18"/>
        <v>-161</v>
      </c>
      <c r="I207" s="21">
        <f t="shared" si="19"/>
        <v>55.46142012051061</v>
      </c>
    </row>
    <row r="208" spans="1:9" ht="13.5">
      <c r="A208" s="1">
        <v>5</v>
      </c>
      <c r="B208" s="2" t="s">
        <v>204</v>
      </c>
      <c r="C208" s="3">
        <v>6202</v>
      </c>
      <c r="D208" s="3">
        <v>11</v>
      </c>
      <c r="E208" s="3">
        <v>53</v>
      </c>
      <c r="F208" s="3">
        <f t="shared" si="17"/>
        <v>6138</v>
      </c>
      <c r="G208" s="3">
        <v>6333</v>
      </c>
      <c r="H208" s="3">
        <f t="shared" si="18"/>
        <v>-195</v>
      </c>
      <c r="I208" s="21">
        <f t="shared" si="19"/>
        <v>67.17376971117744</v>
      </c>
    </row>
    <row r="209" spans="1:9" ht="13.5">
      <c r="A209" s="1">
        <v>6</v>
      </c>
      <c r="B209" s="2" t="s">
        <v>205</v>
      </c>
      <c r="C209" s="3">
        <v>6381</v>
      </c>
      <c r="D209" s="3">
        <v>25</v>
      </c>
      <c r="E209" s="3">
        <v>80</v>
      </c>
      <c r="F209" s="3">
        <f t="shared" si="17"/>
        <v>6276</v>
      </c>
      <c r="G209" s="3">
        <v>6751</v>
      </c>
      <c r="H209" s="3">
        <f t="shared" si="18"/>
        <v>-475</v>
      </c>
      <c r="I209" s="21">
        <f t="shared" si="19"/>
        <v>163.628413399022</v>
      </c>
    </row>
    <row r="210" spans="1:9" ht="13.5">
      <c r="A210" s="1">
        <v>7</v>
      </c>
      <c r="B210" s="2" t="s">
        <v>206</v>
      </c>
      <c r="C210" s="3">
        <v>8500</v>
      </c>
      <c r="D210" s="3">
        <v>49</v>
      </c>
      <c r="E210" s="3">
        <v>107</v>
      </c>
      <c r="F210" s="3">
        <f t="shared" si="17"/>
        <v>8344</v>
      </c>
      <c r="G210" s="3">
        <v>9719</v>
      </c>
      <c r="H210" s="3">
        <f t="shared" si="18"/>
        <v>-1375</v>
      </c>
      <c r="I210" s="21">
        <f t="shared" si="19"/>
        <v>473.66119668137947</v>
      </c>
    </row>
    <row r="211" spans="1:9" ht="13.5">
      <c r="A211" s="1">
        <v>8</v>
      </c>
      <c r="B211" s="2" t="s">
        <v>207</v>
      </c>
      <c r="C211" s="3">
        <v>4244</v>
      </c>
      <c r="D211" s="3">
        <v>6</v>
      </c>
      <c r="E211" s="3">
        <v>23</v>
      </c>
      <c r="F211" s="3">
        <f t="shared" si="17"/>
        <v>4215</v>
      </c>
      <c r="G211" s="3">
        <v>4586</v>
      </c>
      <c r="H211" s="3">
        <f t="shared" si="18"/>
        <v>-371</v>
      </c>
      <c r="I211" s="21">
        <f t="shared" si="19"/>
        <v>127.80240288639403</v>
      </c>
    </row>
    <row r="212" spans="1:9" ht="13.5">
      <c r="A212" s="1">
        <v>9</v>
      </c>
      <c r="B212" s="2" t="s">
        <v>208</v>
      </c>
      <c r="C212" s="3">
        <v>8257</v>
      </c>
      <c r="D212" s="3">
        <v>23</v>
      </c>
      <c r="E212" s="3">
        <v>64</v>
      </c>
      <c r="F212" s="3">
        <f t="shared" si="17"/>
        <v>8170</v>
      </c>
      <c r="G212" s="3">
        <v>8627</v>
      </c>
      <c r="H212" s="3">
        <f t="shared" si="18"/>
        <v>-457</v>
      </c>
      <c r="I212" s="21">
        <f t="shared" si="19"/>
        <v>157.42775773337485</v>
      </c>
    </row>
    <row r="213" spans="1:9" ht="13.5">
      <c r="A213" s="1">
        <v>10</v>
      </c>
      <c r="B213" s="2" t="s">
        <v>209</v>
      </c>
      <c r="C213" s="3">
        <v>6497</v>
      </c>
      <c r="D213" s="3">
        <v>28</v>
      </c>
      <c r="E213" s="3">
        <v>57</v>
      </c>
      <c r="F213" s="3">
        <f t="shared" si="17"/>
        <v>6412</v>
      </c>
      <c r="G213" s="3">
        <v>7497</v>
      </c>
      <c r="H213" s="3">
        <f t="shared" si="18"/>
        <v>-1085</v>
      </c>
      <c r="I213" s="21">
        <f t="shared" si="19"/>
        <v>373.7617442903976</v>
      </c>
    </row>
    <row r="214" spans="1:9" ht="13.5">
      <c r="A214" s="1">
        <v>11</v>
      </c>
      <c r="B214" s="2" t="s">
        <v>210</v>
      </c>
      <c r="C214" s="3">
        <v>3506</v>
      </c>
      <c r="D214" s="3">
        <v>13</v>
      </c>
      <c r="E214" s="3">
        <v>26</v>
      </c>
      <c r="F214" s="3">
        <f t="shared" si="17"/>
        <v>3467</v>
      </c>
      <c r="G214" s="3">
        <v>3467</v>
      </c>
      <c r="H214" s="3">
        <f t="shared" si="18"/>
        <v>0</v>
      </c>
      <c r="I214" s="21">
        <f t="shared" si="19"/>
        <v>0</v>
      </c>
    </row>
    <row r="215" spans="1:9" ht="13.5">
      <c r="A215" s="1">
        <v>12</v>
      </c>
      <c r="B215" s="2" t="s">
        <v>211</v>
      </c>
      <c r="C215" s="3">
        <v>3044</v>
      </c>
      <c r="D215" s="3">
        <v>11</v>
      </c>
      <c r="E215" s="3">
        <v>11</v>
      </c>
      <c r="F215" s="3">
        <f t="shared" si="17"/>
        <v>3022</v>
      </c>
      <c r="G215" s="3">
        <v>3098</v>
      </c>
      <c r="H215" s="3">
        <f t="shared" si="18"/>
        <v>-76</v>
      </c>
      <c r="I215" s="21">
        <f t="shared" si="19"/>
        <v>26.18054614384352</v>
      </c>
    </row>
    <row r="216" spans="1:9" ht="13.5">
      <c r="A216" s="1">
        <v>13</v>
      </c>
      <c r="B216" s="2" t="s">
        <v>212</v>
      </c>
      <c r="C216" s="3">
        <v>4262</v>
      </c>
      <c r="D216" s="3">
        <v>7</v>
      </c>
      <c r="E216" s="3">
        <v>15</v>
      </c>
      <c r="F216" s="3">
        <f t="shared" si="17"/>
        <v>4240</v>
      </c>
      <c r="G216" s="3">
        <v>4588</v>
      </c>
      <c r="H216" s="3">
        <f t="shared" si="18"/>
        <v>-348</v>
      </c>
      <c r="I216" s="21">
        <f t="shared" si="19"/>
        <v>119.87934286917822</v>
      </c>
    </row>
    <row r="217" spans="1:9" ht="13.5">
      <c r="A217" s="1">
        <v>14</v>
      </c>
      <c r="B217" s="2" t="s">
        <v>213</v>
      </c>
      <c r="C217" s="3">
        <v>4717</v>
      </c>
      <c r="D217" s="3">
        <v>15</v>
      </c>
      <c r="E217" s="3">
        <v>35</v>
      </c>
      <c r="F217" s="3">
        <f t="shared" si="17"/>
        <v>4667</v>
      </c>
      <c r="G217" s="3">
        <v>5106</v>
      </c>
      <c r="H217" s="3">
        <f t="shared" si="18"/>
        <v>-439</v>
      </c>
      <c r="I217" s="21">
        <f t="shared" si="19"/>
        <v>151.22710206772769</v>
      </c>
    </row>
    <row r="218" spans="1:9" ht="13.5">
      <c r="A218" s="1">
        <v>15</v>
      </c>
      <c r="B218" s="2" t="s">
        <v>214</v>
      </c>
      <c r="C218" s="3">
        <v>4920</v>
      </c>
      <c r="D218" s="3">
        <v>24</v>
      </c>
      <c r="E218" s="3">
        <v>41</v>
      </c>
      <c r="F218" s="3">
        <f t="shared" si="17"/>
        <v>4855</v>
      </c>
      <c r="G218" s="3">
        <v>5615</v>
      </c>
      <c r="H218" s="3">
        <f t="shared" si="18"/>
        <v>-760</v>
      </c>
      <c r="I218" s="21">
        <f t="shared" si="19"/>
        <v>261.8054614384352</v>
      </c>
    </row>
    <row r="219" spans="1:9" ht="13.5">
      <c r="A219" s="1">
        <v>16</v>
      </c>
      <c r="B219" s="2" t="s">
        <v>215</v>
      </c>
      <c r="C219" s="3">
        <v>3416</v>
      </c>
      <c r="D219" s="3">
        <v>16</v>
      </c>
      <c r="E219" s="3">
        <v>25</v>
      </c>
      <c r="F219" s="3">
        <f t="shared" si="17"/>
        <v>3375</v>
      </c>
      <c r="G219" s="3">
        <v>3539</v>
      </c>
      <c r="H219" s="3">
        <f t="shared" si="18"/>
        <v>-164</v>
      </c>
      <c r="I219" s="21">
        <f t="shared" si="19"/>
        <v>56.4948627314518</v>
      </c>
    </row>
    <row r="220" spans="1:9" ht="13.5">
      <c r="A220" s="1">
        <v>17</v>
      </c>
      <c r="B220" s="2" t="s">
        <v>216</v>
      </c>
      <c r="C220" s="3">
        <v>4073</v>
      </c>
      <c r="D220" s="3">
        <v>8</v>
      </c>
      <c r="E220" s="3">
        <v>39</v>
      </c>
      <c r="F220" s="3">
        <f t="shared" si="17"/>
        <v>4026</v>
      </c>
      <c r="G220" s="3">
        <v>4283</v>
      </c>
      <c r="H220" s="3">
        <f t="shared" si="18"/>
        <v>-257</v>
      </c>
      <c r="I220" s="21">
        <f t="shared" si="19"/>
        <v>88.53158367062875</v>
      </c>
    </row>
    <row r="221" spans="1:9" ht="13.5">
      <c r="A221" s="1">
        <v>18</v>
      </c>
      <c r="B221" s="2" t="s">
        <v>217</v>
      </c>
      <c r="C221" s="3">
        <v>4794</v>
      </c>
      <c r="D221" s="3">
        <v>14</v>
      </c>
      <c r="E221" s="3">
        <v>49</v>
      </c>
      <c r="F221" s="3">
        <f t="shared" si="17"/>
        <v>4731</v>
      </c>
      <c r="G221" s="3">
        <v>4956</v>
      </c>
      <c r="H221" s="3">
        <f t="shared" si="18"/>
        <v>-225</v>
      </c>
      <c r="I221" s="21">
        <f t="shared" si="19"/>
        <v>77.50819582058936</v>
      </c>
    </row>
    <row r="222" spans="1:9" ht="13.5">
      <c r="A222" s="1">
        <v>19</v>
      </c>
      <c r="B222" s="2" t="s">
        <v>218</v>
      </c>
      <c r="C222" s="3">
        <v>3856</v>
      </c>
      <c r="D222" s="3">
        <v>17</v>
      </c>
      <c r="E222" s="3">
        <v>51</v>
      </c>
      <c r="F222" s="3">
        <f t="shared" si="17"/>
        <v>3788</v>
      </c>
      <c r="G222" s="3">
        <v>4051</v>
      </c>
      <c r="H222" s="3">
        <f t="shared" si="18"/>
        <v>-263</v>
      </c>
      <c r="I222" s="21">
        <f t="shared" si="19"/>
        <v>90.59846889251112</v>
      </c>
    </row>
    <row r="223" spans="1:9" ht="13.5">
      <c r="A223" s="1">
        <v>20</v>
      </c>
      <c r="B223" s="2" t="s">
        <v>219</v>
      </c>
      <c r="C223" s="3">
        <v>4373</v>
      </c>
      <c r="D223" s="3">
        <v>23</v>
      </c>
      <c r="E223" s="3">
        <v>58</v>
      </c>
      <c r="F223" s="3">
        <f t="shared" si="17"/>
        <v>4292</v>
      </c>
      <c r="G223" s="3">
        <v>4696</v>
      </c>
      <c r="H223" s="3">
        <f t="shared" si="18"/>
        <v>-404</v>
      </c>
      <c r="I223" s="21">
        <f t="shared" si="19"/>
        <v>139.17027160674712</v>
      </c>
    </row>
    <row r="224" spans="1:9" ht="13.5">
      <c r="A224" s="1">
        <v>21</v>
      </c>
      <c r="B224" s="2" t="s">
        <v>220</v>
      </c>
      <c r="C224" s="3">
        <v>4490</v>
      </c>
      <c r="D224" s="3">
        <v>12</v>
      </c>
      <c r="E224" s="3">
        <v>23</v>
      </c>
      <c r="F224" s="3">
        <f t="shared" si="17"/>
        <v>4455</v>
      </c>
      <c r="G224" s="3">
        <v>4619</v>
      </c>
      <c r="H224" s="3">
        <f t="shared" si="18"/>
        <v>-164</v>
      </c>
      <c r="I224" s="21">
        <f t="shared" si="19"/>
        <v>56.4948627314518</v>
      </c>
    </row>
    <row r="225" spans="1:9" ht="13.5">
      <c r="A225" s="1">
        <v>22</v>
      </c>
      <c r="B225" s="2" t="s">
        <v>221</v>
      </c>
      <c r="C225" s="3">
        <v>4892</v>
      </c>
      <c r="D225" s="3">
        <v>21</v>
      </c>
      <c r="E225" s="3">
        <v>35</v>
      </c>
      <c r="F225" s="3">
        <f t="shared" si="17"/>
        <v>4836</v>
      </c>
      <c r="G225" s="3">
        <v>5100</v>
      </c>
      <c r="H225" s="3">
        <f t="shared" si="18"/>
        <v>-264</v>
      </c>
      <c r="I225" s="21">
        <f t="shared" si="19"/>
        <v>90.94294976282485</v>
      </c>
    </row>
    <row r="226" spans="1:9" ht="13.5">
      <c r="A226" s="1">
        <v>23</v>
      </c>
      <c r="B226" s="2" t="s">
        <v>222</v>
      </c>
      <c r="C226" s="3">
        <v>4513</v>
      </c>
      <c r="D226" s="3">
        <v>16</v>
      </c>
      <c r="E226" s="3">
        <v>14</v>
      </c>
      <c r="F226" s="3">
        <f t="shared" si="17"/>
        <v>4483</v>
      </c>
      <c r="G226" s="3">
        <v>4739</v>
      </c>
      <c r="H226" s="3">
        <f t="shared" si="18"/>
        <v>-256</v>
      </c>
      <c r="I226" s="21">
        <f t="shared" si="19"/>
        <v>88.187102800315</v>
      </c>
    </row>
    <row r="227" spans="1:9" ht="13.5">
      <c r="A227" s="1">
        <v>24</v>
      </c>
      <c r="B227" s="2" t="s">
        <v>223</v>
      </c>
      <c r="C227" s="3">
        <v>4463</v>
      </c>
      <c r="D227" s="3">
        <v>7</v>
      </c>
      <c r="E227" s="3">
        <v>41</v>
      </c>
      <c r="F227" s="3">
        <f t="shared" si="17"/>
        <v>4415</v>
      </c>
      <c r="G227" s="3">
        <v>4878</v>
      </c>
      <c r="H227" s="3">
        <f t="shared" si="18"/>
        <v>-463</v>
      </c>
      <c r="I227" s="21">
        <f t="shared" si="19"/>
        <v>159.49464295525723</v>
      </c>
    </row>
    <row r="228" spans="1:9" ht="13.5">
      <c r="A228" s="1">
        <v>25</v>
      </c>
      <c r="B228" s="2" t="s">
        <v>224</v>
      </c>
      <c r="C228" s="3">
        <v>3423</v>
      </c>
      <c r="D228" s="3">
        <v>12</v>
      </c>
      <c r="E228" s="3">
        <v>25</v>
      </c>
      <c r="F228" s="3">
        <f t="shared" si="17"/>
        <v>3386</v>
      </c>
      <c r="G228" s="3">
        <v>3493</v>
      </c>
      <c r="H228" s="3">
        <f t="shared" si="18"/>
        <v>-107</v>
      </c>
      <c r="I228" s="21">
        <f t="shared" si="19"/>
        <v>36.85945312356916</v>
      </c>
    </row>
    <row r="229" spans="1:9" ht="13.5">
      <c r="A229" s="1">
        <v>26</v>
      </c>
      <c r="B229" s="2" t="s">
        <v>225</v>
      </c>
      <c r="C229" s="3">
        <v>3740</v>
      </c>
      <c r="D229" s="3">
        <v>5</v>
      </c>
      <c r="E229" s="3">
        <v>18</v>
      </c>
      <c r="F229" s="3">
        <f t="shared" si="17"/>
        <v>3717</v>
      </c>
      <c r="G229" s="3">
        <v>4004</v>
      </c>
      <c r="H229" s="3">
        <f t="shared" si="18"/>
        <v>-287</v>
      </c>
      <c r="I229" s="21">
        <f t="shared" si="19"/>
        <v>98.86600978004067</v>
      </c>
    </row>
    <row r="230" spans="1:9" ht="13.5">
      <c r="A230" s="1">
        <v>27</v>
      </c>
      <c r="B230" s="2" t="s">
        <v>226</v>
      </c>
      <c r="C230" s="3">
        <v>2994</v>
      </c>
      <c r="D230" s="3">
        <v>6</v>
      </c>
      <c r="E230" s="3">
        <v>10</v>
      </c>
      <c r="F230" s="3">
        <f t="shared" si="17"/>
        <v>2978</v>
      </c>
      <c r="G230" s="3">
        <v>3325</v>
      </c>
      <c r="H230" s="3">
        <f t="shared" si="18"/>
        <v>-347</v>
      </c>
      <c r="I230" s="21">
        <f t="shared" si="19"/>
        <v>119.53486199886449</v>
      </c>
    </row>
    <row r="231" spans="1:9" ht="13.5">
      <c r="A231" s="1">
        <v>28</v>
      </c>
      <c r="B231" s="2" t="s">
        <v>227</v>
      </c>
      <c r="C231" s="3">
        <v>3912</v>
      </c>
      <c r="D231" s="3">
        <v>7</v>
      </c>
      <c r="E231" s="3">
        <v>16</v>
      </c>
      <c r="F231" s="3">
        <f t="shared" si="17"/>
        <v>3889</v>
      </c>
      <c r="G231" s="3">
        <v>3960</v>
      </c>
      <c r="H231" s="3">
        <f t="shared" si="18"/>
        <v>-71</v>
      </c>
      <c r="I231" s="21">
        <f t="shared" si="19"/>
        <v>24.458141792274866</v>
      </c>
    </row>
    <row r="232" spans="1:9" ht="13.5">
      <c r="A232" s="1">
        <v>29</v>
      </c>
      <c r="B232" s="2" t="s">
        <v>228</v>
      </c>
      <c r="C232" s="3">
        <v>4622</v>
      </c>
      <c r="D232" s="3">
        <v>9</v>
      </c>
      <c r="E232" s="3">
        <v>23</v>
      </c>
      <c r="F232" s="3">
        <f t="shared" si="17"/>
        <v>4590</v>
      </c>
      <c r="G232" s="3">
        <v>4795</v>
      </c>
      <c r="H232" s="3">
        <f t="shared" si="18"/>
        <v>-205</v>
      </c>
      <c r="I232" s="21">
        <f t="shared" si="19"/>
        <v>70.61857841431475</v>
      </c>
    </row>
    <row r="233" spans="1:9" ht="13.5">
      <c r="A233" s="1">
        <v>30</v>
      </c>
      <c r="B233" s="2" t="s">
        <v>229</v>
      </c>
      <c r="C233" s="3">
        <v>1138</v>
      </c>
      <c r="D233" s="3">
        <v>3</v>
      </c>
      <c r="E233" s="3">
        <v>22</v>
      </c>
      <c r="F233" s="3">
        <f t="shared" si="17"/>
        <v>1113</v>
      </c>
      <c r="G233" s="3">
        <v>1345</v>
      </c>
      <c r="H233" s="3">
        <f t="shared" si="18"/>
        <v>-232</v>
      </c>
      <c r="I233" s="21">
        <f t="shared" si="19"/>
        <v>79.91956191278548</v>
      </c>
    </row>
    <row r="234" spans="1:9" ht="13.5">
      <c r="A234" s="1">
        <v>31</v>
      </c>
      <c r="B234" s="2" t="s">
        <v>230</v>
      </c>
      <c r="C234" s="3">
        <v>641</v>
      </c>
      <c r="D234" s="3">
        <v>4</v>
      </c>
      <c r="E234" s="3">
        <v>3</v>
      </c>
      <c r="F234" s="3">
        <f t="shared" si="17"/>
        <v>634</v>
      </c>
      <c r="G234" s="3">
        <v>699</v>
      </c>
      <c r="H234" s="3">
        <f t="shared" si="18"/>
        <v>-65</v>
      </c>
      <c r="I234" s="21">
        <f t="shared" si="19"/>
        <v>22.391256570392486</v>
      </c>
    </row>
    <row r="235" spans="1:9" ht="13.5">
      <c r="A235" s="1">
        <v>32</v>
      </c>
      <c r="B235" s="2" t="s">
        <v>231</v>
      </c>
      <c r="C235" s="3">
        <v>2201</v>
      </c>
      <c r="D235" s="3">
        <v>5</v>
      </c>
      <c r="E235" s="3">
        <v>32</v>
      </c>
      <c r="F235" s="3">
        <f t="shared" si="17"/>
        <v>2164</v>
      </c>
      <c r="G235" s="3">
        <v>2464</v>
      </c>
      <c r="H235" s="3">
        <f t="shared" si="18"/>
        <v>-300</v>
      </c>
      <c r="I235" s="21">
        <f t="shared" si="19"/>
        <v>103.34426109411915</v>
      </c>
    </row>
    <row r="236" spans="1:9" ht="13.5">
      <c r="A236" s="1">
        <v>33</v>
      </c>
      <c r="B236" s="2" t="s">
        <v>232</v>
      </c>
      <c r="C236" s="3">
        <v>917</v>
      </c>
      <c r="D236" s="3">
        <v>4</v>
      </c>
      <c r="E236" s="3">
        <v>8</v>
      </c>
      <c r="F236" s="3">
        <f t="shared" si="17"/>
        <v>905</v>
      </c>
      <c r="G236" s="3">
        <v>994</v>
      </c>
      <c r="H236" s="3">
        <f t="shared" si="18"/>
        <v>-89</v>
      </c>
      <c r="I236" s="21">
        <f t="shared" si="19"/>
        <v>30.658797457922017</v>
      </c>
    </row>
    <row r="237" spans="1:9" ht="13.5">
      <c r="A237" s="1">
        <v>34</v>
      </c>
      <c r="B237" s="2" t="s">
        <v>233</v>
      </c>
      <c r="C237" s="3">
        <v>775</v>
      </c>
      <c r="D237" s="3">
        <v>6</v>
      </c>
      <c r="E237" s="3">
        <v>12</v>
      </c>
      <c r="F237" s="3">
        <f t="shared" si="17"/>
        <v>757</v>
      </c>
      <c r="G237" s="3">
        <v>821</v>
      </c>
      <c r="H237" s="3">
        <f t="shared" si="18"/>
        <v>-64</v>
      </c>
      <c r="I237" s="21">
        <f t="shared" si="19"/>
        <v>22.04677570007875</v>
      </c>
    </row>
    <row r="238" spans="1:9" ht="13.5">
      <c r="A238" s="1">
        <v>35</v>
      </c>
      <c r="B238" s="2" t="s">
        <v>234</v>
      </c>
      <c r="C238" s="3">
        <v>481</v>
      </c>
      <c r="D238" s="3">
        <v>4</v>
      </c>
      <c r="E238" s="3">
        <v>2</v>
      </c>
      <c r="F238" s="3">
        <f t="shared" si="17"/>
        <v>475</v>
      </c>
      <c r="G238" s="3">
        <v>524</v>
      </c>
      <c r="H238" s="3">
        <f t="shared" si="18"/>
        <v>-49</v>
      </c>
      <c r="I238" s="21">
        <f t="shared" si="19"/>
        <v>16.879562645372797</v>
      </c>
    </row>
    <row r="239" spans="1:9" ht="13.5">
      <c r="A239" s="1">
        <v>36</v>
      </c>
      <c r="B239" s="2" t="s">
        <v>235</v>
      </c>
      <c r="C239" s="3">
        <v>1085</v>
      </c>
      <c r="D239" s="3">
        <v>7</v>
      </c>
      <c r="E239" s="3">
        <v>15</v>
      </c>
      <c r="F239" s="3">
        <f t="shared" si="17"/>
        <v>1063</v>
      </c>
      <c r="G239" s="3">
        <v>1176</v>
      </c>
      <c r="H239" s="3">
        <f t="shared" si="18"/>
        <v>-113</v>
      </c>
      <c r="I239" s="21">
        <f t="shared" si="19"/>
        <v>38.92633834545155</v>
      </c>
    </row>
    <row r="240" spans="1:9" ht="13.5">
      <c r="A240" s="1">
        <v>37</v>
      </c>
      <c r="B240" s="2" t="s">
        <v>236</v>
      </c>
      <c r="C240" s="3">
        <v>4778</v>
      </c>
      <c r="D240" s="3">
        <v>48</v>
      </c>
      <c r="E240" s="3">
        <v>77</v>
      </c>
      <c r="F240" s="3">
        <f t="shared" si="17"/>
        <v>4653</v>
      </c>
      <c r="G240" s="3">
        <v>6422</v>
      </c>
      <c r="H240" s="3">
        <f t="shared" si="18"/>
        <v>-1769</v>
      </c>
      <c r="I240" s="21">
        <f t="shared" si="19"/>
        <v>609.3866595849893</v>
      </c>
    </row>
    <row r="241" spans="1:9" ht="13.5">
      <c r="A241" s="1">
        <v>38</v>
      </c>
      <c r="B241" s="2" t="s">
        <v>237</v>
      </c>
      <c r="C241" s="3">
        <v>533</v>
      </c>
      <c r="D241" s="3">
        <v>1</v>
      </c>
      <c r="E241" s="3">
        <v>6</v>
      </c>
      <c r="F241" s="3">
        <f t="shared" si="17"/>
        <v>526</v>
      </c>
      <c r="G241" s="3">
        <v>526</v>
      </c>
      <c r="H241" s="3">
        <f t="shared" si="18"/>
        <v>0</v>
      </c>
      <c r="I241" s="21">
        <f t="shared" si="19"/>
        <v>0</v>
      </c>
    </row>
    <row r="242" spans="1:9" ht="13.5">
      <c r="A242" s="14" t="s">
        <v>463</v>
      </c>
      <c r="B242" s="15" t="s">
        <v>238</v>
      </c>
      <c r="C242" s="16">
        <f>SUM(C243:C248)</f>
        <v>23852</v>
      </c>
      <c r="D242" s="16">
        <f>SUM(D243:D248)</f>
        <v>43</v>
      </c>
      <c r="E242" s="16">
        <f>SUM(E243:E248)</f>
        <v>103</v>
      </c>
      <c r="F242" s="16">
        <f t="shared" si="17"/>
        <v>23706</v>
      </c>
      <c r="G242" s="16">
        <f>SUM(G243:G248)</f>
        <v>39113</v>
      </c>
      <c r="H242" s="16">
        <f t="shared" si="18"/>
        <v>-15407</v>
      </c>
      <c r="I242" s="23">
        <f>H242/-176206*60700</f>
        <v>5307.452073141664</v>
      </c>
    </row>
    <row r="243" spans="1:9" ht="13.5">
      <c r="A243" s="1">
        <v>1</v>
      </c>
      <c r="B243" s="2" t="s">
        <v>239</v>
      </c>
      <c r="C243" s="3">
        <v>5102</v>
      </c>
      <c r="D243" s="3">
        <v>7</v>
      </c>
      <c r="E243" s="3">
        <v>20</v>
      </c>
      <c r="F243" s="3">
        <f t="shared" si="17"/>
        <v>5075</v>
      </c>
      <c r="G243" s="3">
        <v>5745</v>
      </c>
      <c r="H243" s="3">
        <f t="shared" si="18"/>
        <v>-670</v>
      </c>
      <c r="I243" s="21">
        <f aca="true" t="shared" si="20" ref="I243:I248">H243/-15407*5307</f>
        <v>230.7840591938729</v>
      </c>
    </row>
    <row r="244" spans="1:9" ht="13.5">
      <c r="A244" s="1">
        <v>2</v>
      </c>
      <c r="B244" s="2" t="s">
        <v>240</v>
      </c>
      <c r="C244" s="3">
        <v>4351</v>
      </c>
      <c r="D244" s="3">
        <v>11</v>
      </c>
      <c r="E244" s="3">
        <v>19</v>
      </c>
      <c r="F244" s="3">
        <f t="shared" si="17"/>
        <v>4321</v>
      </c>
      <c r="G244" s="3">
        <v>4676</v>
      </c>
      <c r="H244" s="3">
        <f t="shared" si="18"/>
        <v>-355</v>
      </c>
      <c r="I244" s="21">
        <f t="shared" si="20"/>
        <v>122.28110599078342</v>
      </c>
    </row>
    <row r="245" spans="1:9" ht="13.5">
      <c r="A245" s="1">
        <v>3</v>
      </c>
      <c r="B245" s="2" t="s">
        <v>241</v>
      </c>
      <c r="C245" s="3">
        <v>5292</v>
      </c>
      <c r="D245" s="3">
        <v>9</v>
      </c>
      <c r="E245" s="3">
        <v>32</v>
      </c>
      <c r="F245" s="3">
        <f t="shared" si="17"/>
        <v>5251</v>
      </c>
      <c r="G245" s="3">
        <v>6658</v>
      </c>
      <c r="H245" s="3">
        <f t="shared" si="18"/>
        <v>-1407</v>
      </c>
      <c r="I245" s="21">
        <f t="shared" si="20"/>
        <v>484.6465243071331</v>
      </c>
    </row>
    <row r="246" spans="1:9" ht="13.5">
      <c r="A246" s="1">
        <v>4</v>
      </c>
      <c r="B246" s="2" t="s">
        <v>242</v>
      </c>
      <c r="C246" s="3">
        <v>5508</v>
      </c>
      <c r="D246" s="3">
        <v>8</v>
      </c>
      <c r="E246" s="3">
        <v>23</v>
      </c>
      <c r="F246" s="3">
        <f t="shared" si="17"/>
        <v>5477</v>
      </c>
      <c r="G246" s="3">
        <v>6100</v>
      </c>
      <c r="H246" s="3">
        <f t="shared" si="18"/>
        <v>-623</v>
      </c>
      <c r="I246" s="21">
        <f t="shared" si="20"/>
        <v>214.5947296683326</v>
      </c>
    </row>
    <row r="247" spans="1:9" ht="13.5">
      <c r="A247" s="1">
        <v>5</v>
      </c>
      <c r="B247" s="2" t="s">
        <v>243</v>
      </c>
      <c r="C247" s="3">
        <v>2537</v>
      </c>
      <c r="D247" s="3">
        <v>7</v>
      </c>
      <c r="E247" s="3">
        <v>9</v>
      </c>
      <c r="F247" s="3">
        <f t="shared" si="17"/>
        <v>2521</v>
      </c>
      <c r="G247" s="3">
        <v>4431</v>
      </c>
      <c r="H247" s="3">
        <f t="shared" si="18"/>
        <v>-1910</v>
      </c>
      <c r="I247" s="21">
        <f t="shared" si="20"/>
        <v>657.906795612384</v>
      </c>
    </row>
    <row r="248" spans="1:9" ht="13.5">
      <c r="A248" s="1">
        <v>6</v>
      </c>
      <c r="B248" s="2" t="s">
        <v>244</v>
      </c>
      <c r="C248" s="3">
        <v>1062</v>
      </c>
      <c r="D248" s="3">
        <v>1</v>
      </c>
      <c r="E248" s="3">
        <v>0</v>
      </c>
      <c r="F248" s="3">
        <f t="shared" si="17"/>
        <v>1061</v>
      </c>
      <c r="G248" s="3">
        <v>11503</v>
      </c>
      <c r="H248" s="3">
        <f t="shared" si="18"/>
        <v>-10442</v>
      </c>
      <c r="I248" s="21">
        <f t="shared" si="20"/>
        <v>3596.786785227494</v>
      </c>
    </row>
    <row r="249" spans="1:9" ht="13.5">
      <c r="A249" s="14" t="s">
        <v>464</v>
      </c>
      <c r="B249" s="15" t="s">
        <v>245</v>
      </c>
      <c r="C249" s="16">
        <f>SUM(C250:C258)</f>
        <v>19890</v>
      </c>
      <c r="D249" s="16">
        <f>SUM(D250:D258)</f>
        <v>22</v>
      </c>
      <c r="E249" s="16">
        <f>SUM(E250:E258)</f>
        <v>281</v>
      </c>
      <c r="F249" s="16">
        <f t="shared" si="17"/>
        <v>19587</v>
      </c>
      <c r="G249" s="16">
        <f>SUM(G250:G258)</f>
        <v>21628</v>
      </c>
      <c r="H249" s="16">
        <f t="shared" si="18"/>
        <v>-2041</v>
      </c>
      <c r="I249" s="23">
        <f>H249/-176206*60700</f>
        <v>703.0901331396207</v>
      </c>
    </row>
    <row r="250" spans="1:9" ht="13.5">
      <c r="A250" s="1">
        <v>1</v>
      </c>
      <c r="B250" s="2" t="s">
        <v>246</v>
      </c>
      <c r="C250" s="3">
        <v>1579</v>
      </c>
      <c r="D250" s="3">
        <v>2</v>
      </c>
      <c r="E250" s="3">
        <v>19</v>
      </c>
      <c r="F250" s="3">
        <f t="shared" si="17"/>
        <v>1558</v>
      </c>
      <c r="G250" s="3">
        <v>1558</v>
      </c>
      <c r="H250" s="3">
        <f t="shared" si="18"/>
        <v>0</v>
      </c>
      <c r="I250" s="21">
        <f>H250/2041*-703</f>
        <v>0</v>
      </c>
    </row>
    <row r="251" spans="1:9" ht="13.5">
      <c r="A251" s="1">
        <v>2</v>
      </c>
      <c r="B251" s="2" t="s">
        <v>247</v>
      </c>
      <c r="C251" s="3">
        <v>2732</v>
      </c>
      <c r="D251" s="3">
        <v>4</v>
      </c>
      <c r="E251" s="3">
        <v>52</v>
      </c>
      <c r="F251" s="3">
        <f t="shared" si="17"/>
        <v>2676</v>
      </c>
      <c r="G251" s="3">
        <v>3964</v>
      </c>
      <c r="H251" s="3">
        <f t="shared" si="18"/>
        <v>-1288</v>
      </c>
      <c r="I251" s="21">
        <f>H251/2041*-703</f>
        <v>443.63743263106323</v>
      </c>
    </row>
    <row r="252" spans="1:9" ht="13.5">
      <c r="A252" s="1">
        <v>3</v>
      </c>
      <c r="B252" s="2" t="s">
        <v>248</v>
      </c>
      <c r="C252" s="3">
        <v>2299</v>
      </c>
      <c r="D252" s="3">
        <v>2</v>
      </c>
      <c r="E252" s="3">
        <v>31</v>
      </c>
      <c r="F252" s="3">
        <f t="shared" si="17"/>
        <v>2266</v>
      </c>
      <c r="G252" s="3">
        <v>2266</v>
      </c>
      <c r="H252" s="3">
        <f t="shared" si="18"/>
        <v>0</v>
      </c>
      <c r="I252" s="21">
        <f aca="true" t="shared" si="21" ref="I252:I258">H252/2041*-703</f>
        <v>0</v>
      </c>
    </row>
    <row r="253" spans="1:9" ht="13.5">
      <c r="A253" s="1">
        <v>4</v>
      </c>
      <c r="B253" s="2" t="s">
        <v>249</v>
      </c>
      <c r="C253" s="3">
        <v>2573</v>
      </c>
      <c r="D253" s="3">
        <v>3</v>
      </c>
      <c r="E253" s="3">
        <v>36</v>
      </c>
      <c r="F253" s="3">
        <f t="shared" si="17"/>
        <v>2534</v>
      </c>
      <c r="G253" s="3">
        <v>2707</v>
      </c>
      <c r="H253" s="3">
        <f t="shared" si="18"/>
        <v>-173</v>
      </c>
      <c r="I253" s="21">
        <f t="shared" si="21"/>
        <v>59.58794708476237</v>
      </c>
    </row>
    <row r="254" spans="1:9" ht="13.5">
      <c r="A254" s="1">
        <v>5</v>
      </c>
      <c r="B254" s="2" t="s">
        <v>250</v>
      </c>
      <c r="C254" s="3">
        <v>1227</v>
      </c>
      <c r="D254" s="3">
        <v>1</v>
      </c>
      <c r="E254" s="3">
        <v>18</v>
      </c>
      <c r="F254" s="3">
        <f t="shared" si="17"/>
        <v>1208</v>
      </c>
      <c r="G254" s="3">
        <v>1444</v>
      </c>
      <c r="H254" s="3">
        <f t="shared" si="18"/>
        <v>-236</v>
      </c>
      <c r="I254" s="21">
        <f t="shared" si="21"/>
        <v>81.28760411562959</v>
      </c>
    </row>
    <row r="255" spans="1:9" ht="13.5">
      <c r="A255" s="1">
        <v>6</v>
      </c>
      <c r="B255" s="2" t="s">
        <v>251</v>
      </c>
      <c r="C255" s="3">
        <v>1135</v>
      </c>
      <c r="D255" s="3">
        <v>2</v>
      </c>
      <c r="E255" s="3">
        <v>24</v>
      </c>
      <c r="F255" s="3">
        <f aca="true" t="shared" si="22" ref="F255:F318">C255-E255-D255</f>
        <v>1109</v>
      </c>
      <c r="G255" s="3">
        <v>1273</v>
      </c>
      <c r="H255" s="3">
        <f t="shared" si="18"/>
        <v>-164</v>
      </c>
      <c r="I255" s="21">
        <f t="shared" si="21"/>
        <v>56.487996080352765</v>
      </c>
    </row>
    <row r="256" spans="1:9" ht="13.5">
      <c r="A256" s="1">
        <v>7</v>
      </c>
      <c r="B256" s="2" t="s">
        <v>252</v>
      </c>
      <c r="C256" s="3">
        <v>2531</v>
      </c>
      <c r="D256" s="3">
        <v>1</v>
      </c>
      <c r="E256" s="3">
        <v>18</v>
      </c>
      <c r="F256" s="3">
        <f t="shared" si="22"/>
        <v>2512</v>
      </c>
      <c r="G256" s="3">
        <v>2599</v>
      </c>
      <c r="H256" s="3">
        <f t="shared" si="18"/>
        <v>-87</v>
      </c>
      <c r="I256" s="21">
        <f t="shared" si="21"/>
        <v>29.966193042626166</v>
      </c>
    </row>
    <row r="257" spans="1:9" ht="13.5">
      <c r="A257" s="1">
        <v>8</v>
      </c>
      <c r="B257" s="2" t="s">
        <v>253</v>
      </c>
      <c r="C257" s="3">
        <v>3792</v>
      </c>
      <c r="D257" s="3">
        <v>5</v>
      </c>
      <c r="E257" s="3">
        <v>58</v>
      </c>
      <c r="F257" s="3">
        <f t="shared" si="22"/>
        <v>3729</v>
      </c>
      <c r="G257" s="3">
        <v>3729</v>
      </c>
      <c r="H257" s="3">
        <f t="shared" si="18"/>
        <v>0</v>
      </c>
      <c r="I257" s="21">
        <f t="shared" si="21"/>
        <v>0</v>
      </c>
    </row>
    <row r="258" spans="1:9" ht="13.5">
      <c r="A258" s="1">
        <v>9</v>
      </c>
      <c r="B258" s="2" t="s">
        <v>254</v>
      </c>
      <c r="C258" s="3">
        <v>2022</v>
      </c>
      <c r="D258" s="3">
        <v>2</v>
      </c>
      <c r="E258" s="3">
        <v>25</v>
      </c>
      <c r="F258" s="3">
        <f t="shared" si="22"/>
        <v>1995</v>
      </c>
      <c r="G258" s="3">
        <v>2088</v>
      </c>
      <c r="H258" s="3">
        <f t="shared" si="18"/>
        <v>-93</v>
      </c>
      <c r="I258" s="21">
        <f t="shared" si="21"/>
        <v>32.032827045565895</v>
      </c>
    </row>
    <row r="259" spans="1:9" ht="13.5">
      <c r="A259" s="14" t="s">
        <v>465</v>
      </c>
      <c r="B259" s="15" t="s">
        <v>255</v>
      </c>
      <c r="C259" s="16">
        <f>SUM(C260:C267)</f>
        <v>21108</v>
      </c>
      <c r="D259" s="16">
        <f>SUM(D260:D267)</f>
        <v>24</v>
      </c>
      <c r="E259" s="16">
        <f>SUM(E260:E267)</f>
        <v>118</v>
      </c>
      <c r="F259" s="16">
        <f t="shared" si="22"/>
        <v>20966</v>
      </c>
      <c r="G259" s="16">
        <f>SUM(G260:G267)</f>
        <v>23231</v>
      </c>
      <c r="H259" s="16">
        <f t="shared" si="18"/>
        <v>-2265</v>
      </c>
      <c r="I259" s="23">
        <f>H259/-176206*60700</f>
        <v>780.2543613724845</v>
      </c>
    </row>
    <row r="260" spans="1:9" ht="13.5">
      <c r="A260" s="1">
        <v>1</v>
      </c>
      <c r="B260" s="2" t="s">
        <v>256</v>
      </c>
      <c r="C260" s="3">
        <v>3043</v>
      </c>
      <c r="D260" s="3">
        <v>2</v>
      </c>
      <c r="E260" s="3">
        <v>10</v>
      </c>
      <c r="F260" s="3">
        <f t="shared" si="22"/>
        <v>3031</v>
      </c>
      <c r="G260" s="3">
        <v>3339</v>
      </c>
      <c r="H260" s="3">
        <f t="shared" si="18"/>
        <v>-308</v>
      </c>
      <c r="I260" s="21">
        <f>H260/2265*-780</f>
        <v>106.06622516556291</v>
      </c>
    </row>
    <row r="261" spans="1:9" ht="13.5">
      <c r="A261" s="1">
        <v>2</v>
      </c>
      <c r="B261" s="2" t="s">
        <v>257</v>
      </c>
      <c r="C261" s="3">
        <v>4033</v>
      </c>
      <c r="D261" s="3">
        <v>2</v>
      </c>
      <c r="E261" s="3">
        <v>15</v>
      </c>
      <c r="F261" s="3">
        <f t="shared" si="22"/>
        <v>4016</v>
      </c>
      <c r="G261" s="3">
        <v>4254</v>
      </c>
      <c r="H261" s="3">
        <f t="shared" si="18"/>
        <v>-238</v>
      </c>
      <c r="I261" s="21">
        <f aca="true" t="shared" si="23" ref="I261:I267">H261/2265*-780</f>
        <v>81.96026490066225</v>
      </c>
    </row>
    <row r="262" spans="1:9" ht="13.5">
      <c r="A262" s="1">
        <v>3</v>
      </c>
      <c r="B262" s="2" t="s">
        <v>258</v>
      </c>
      <c r="C262" s="3">
        <v>5043</v>
      </c>
      <c r="D262" s="3">
        <v>3</v>
      </c>
      <c r="E262" s="3">
        <v>27</v>
      </c>
      <c r="F262" s="3">
        <f t="shared" si="22"/>
        <v>5013</v>
      </c>
      <c r="G262" s="3">
        <v>5187</v>
      </c>
      <c r="H262" s="3">
        <f aca="true" t="shared" si="24" ref="H262:H293">F262-G262</f>
        <v>-174</v>
      </c>
      <c r="I262" s="21">
        <f t="shared" si="23"/>
        <v>59.9205298013245</v>
      </c>
    </row>
    <row r="263" spans="1:9" ht="13.5">
      <c r="A263" s="1">
        <v>4</v>
      </c>
      <c r="B263" s="2" t="s">
        <v>259</v>
      </c>
      <c r="C263" s="3">
        <v>2710</v>
      </c>
      <c r="D263" s="3">
        <v>8</v>
      </c>
      <c r="E263" s="3">
        <v>7</v>
      </c>
      <c r="F263" s="3">
        <f t="shared" si="22"/>
        <v>2695</v>
      </c>
      <c r="G263" s="3">
        <v>2853</v>
      </c>
      <c r="H263" s="3">
        <f t="shared" si="24"/>
        <v>-158</v>
      </c>
      <c r="I263" s="21">
        <f t="shared" si="23"/>
        <v>54.41059602649006</v>
      </c>
    </row>
    <row r="264" spans="1:9" ht="13.5">
      <c r="A264" s="1">
        <v>5</v>
      </c>
      <c r="B264" s="2" t="s">
        <v>260</v>
      </c>
      <c r="C264" s="3">
        <v>1173</v>
      </c>
      <c r="D264" s="3">
        <v>0</v>
      </c>
      <c r="E264" s="3">
        <v>5</v>
      </c>
      <c r="F264" s="3">
        <f t="shared" si="22"/>
        <v>1168</v>
      </c>
      <c r="G264" s="3">
        <v>1243</v>
      </c>
      <c r="H264" s="3">
        <f t="shared" si="24"/>
        <v>-75</v>
      </c>
      <c r="I264" s="21">
        <f t="shared" si="23"/>
        <v>25.827814569536425</v>
      </c>
    </row>
    <row r="265" spans="1:9" ht="13.5">
      <c r="A265" s="1">
        <v>6</v>
      </c>
      <c r="B265" s="2" t="s">
        <v>261</v>
      </c>
      <c r="C265" s="3">
        <v>2692</v>
      </c>
      <c r="D265" s="3">
        <v>4</v>
      </c>
      <c r="E265" s="3">
        <v>32</v>
      </c>
      <c r="F265" s="3">
        <f t="shared" si="22"/>
        <v>2656</v>
      </c>
      <c r="G265" s="3">
        <v>3890</v>
      </c>
      <c r="H265" s="3">
        <f t="shared" si="24"/>
        <v>-1234</v>
      </c>
      <c r="I265" s="21">
        <f t="shared" si="23"/>
        <v>424.953642384106</v>
      </c>
    </row>
    <row r="266" spans="1:9" ht="13.5">
      <c r="A266" s="1">
        <v>7</v>
      </c>
      <c r="B266" s="2" t="s">
        <v>262</v>
      </c>
      <c r="C266" s="3">
        <v>1366</v>
      </c>
      <c r="D266" s="3">
        <v>5</v>
      </c>
      <c r="E266" s="3">
        <v>13</v>
      </c>
      <c r="F266" s="3">
        <f t="shared" si="22"/>
        <v>1348</v>
      </c>
      <c r="G266" s="3">
        <v>1426</v>
      </c>
      <c r="H266" s="3">
        <f t="shared" si="24"/>
        <v>-78</v>
      </c>
      <c r="I266" s="21">
        <f t="shared" si="23"/>
        <v>26.860927152317878</v>
      </c>
    </row>
    <row r="267" spans="1:9" ht="13.5">
      <c r="A267" s="1">
        <v>8</v>
      </c>
      <c r="B267" s="2" t="s">
        <v>263</v>
      </c>
      <c r="C267" s="3">
        <v>1048</v>
      </c>
      <c r="D267" s="3">
        <v>0</v>
      </c>
      <c r="E267" s="3">
        <v>9</v>
      </c>
      <c r="F267" s="3">
        <f t="shared" si="22"/>
        <v>1039</v>
      </c>
      <c r="G267" s="3">
        <v>1039</v>
      </c>
      <c r="H267" s="3">
        <f t="shared" si="24"/>
        <v>0</v>
      </c>
      <c r="I267" s="21">
        <f t="shared" si="23"/>
        <v>0</v>
      </c>
    </row>
    <row r="268" spans="1:9" ht="13.5">
      <c r="A268" s="14" t="s">
        <v>466</v>
      </c>
      <c r="B268" s="15" t="s">
        <v>264</v>
      </c>
      <c r="C268" s="16">
        <f>SUM(C269:C284)</f>
        <v>25149</v>
      </c>
      <c r="D268" s="16">
        <f>SUM(D269:D284)</f>
        <v>120</v>
      </c>
      <c r="E268" s="16">
        <f>SUM(E269:E284)</f>
        <v>418</v>
      </c>
      <c r="F268" s="16">
        <f>SUM(F269:F284)</f>
        <v>24611</v>
      </c>
      <c r="G268" s="16">
        <f>SUM(G269:G284)</f>
        <v>25719</v>
      </c>
      <c r="H268" s="16">
        <f t="shared" si="24"/>
        <v>-1108</v>
      </c>
      <c r="I268" s="23">
        <f>H268/-176206*60700</f>
        <v>381.68734322327276</v>
      </c>
    </row>
    <row r="269" spans="1:9" ht="13.5">
      <c r="A269" s="1">
        <v>1</v>
      </c>
      <c r="B269" s="2" t="s">
        <v>265</v>
      </c>
      <c r="C269" s="3">
        <v>1674</v>
      </c>
      <c r="D269" s="3">
        <v>17</v>
      </c>
      <c r="E269" s="3">
        <v>45</v>
      </c>
      <c r="F269" s="3">
        <f t="shared" si="22"/>
        <v>1612</v>
      </c>
      <c r="G269" s="3">
        <v>1612</v>
      </c>
      <c r="H269" s="3">
        <f t="shared" si="24"/>
        <v>0</v>
      </c>
      <c r="I269" s="21">
        <f>H269/-1108*382</f>
        <v>0</v>
      </c>
    </row>
    <row r="270" spans="1:9" ht="13.5">
      <c r="A270" s="1">
        <v>2</v>
      </c>
      <c r="B270" s="2" t="s">
        <v>266</v>
      </c>
      <c r="C270" s="3">
        <v>1157</v>
      </c>
      <c r="D270" s="3">
        <v>3</v>
      </c>
      <c r="E270" s="3">
        <v>16</v>
      </c>
      <c r="F270" s="3">
        <f t="shared" si="22"/>
        <v>1138</v>
      </c>
      <c r="G270" s="3">
        <v>1138</v>
      </c>
      <c r="H270" s="3">
        <f t="shared" si="24"/>
        <v>0</v>
      </c>
      <c r="I270" s="21">
        <f>H270/-1108*382</f>
        <v>0</v>
      </c>
    </row>
    <row r="271" spans="1:9" ht="13.5">
      <c r="A271" s="1">
        <v>3</v>
      </c>
      <c r="B271" s="2" t="s">
        <v>267</v>
      </c>
      <c r="C271" s="3">
        <v>1928</v>
      </c>
      <c r="D271" s="3">
        <v>21</v>
      </c>
      <c r="E271" s="3">
        <v>30</v>
      </c>
      <c r="F271" s="3">
        <f t="shared" si="22"/>
        <v>1877</v>
      </c>
      <c r="G271" s="3">
        <v>1972</v>
      </c>
      <c r="H271" s="3">
        <f t="shared" si="24"/>
        <v>-95</v>
      </c>
      <c r="I271" s="21">
        <f>H271/-1108*382</f>
        <v>32.75270758122743</v>
      </c>
    </row>
    <row r="272" spans="1:9" ht="13.5">
      <c r="A272" s="1">
        <v>4</v>
      </c>
      <c r="B272" s="2" t="s">
        <v>268</v>
      </c>
      <c r="C272" s="3">
        <v>2830</v>
      </c>
      <c r="D272" s="3">
        <v>14</v>
      </c>
      <c r="E272" s="3">
        <v>42</v>
      </c>
      <c r="F272" s="3">
        <f t="shared" si="22"/>
        <v>2774</v>
      </c>
      <c r="G272" s="3">
        <v>2774</v>
      </c>
      <c r="H272" s="3">
        <f t="shared" si="24"/>
        <v>0</v>
      </c>
      <c r="I272" s="21">
        <f aca="true" t="shared" si="25" ref="I272:I284">H272/-1108*382</f>
        <v>0</v>
      </c>
    </row>
    <row r="273" spans="1:9" ht="13.5">
      <c r="A273" s="1">
        <v>5</v>
      </c>
      <c r="B273" s="2" t="s">
        <v>269</v>
      </c>
      <c r="C273" s="3">
        <v>1529</v>
      </c>
      <c r="D273" s="3">
        <v>2</v>
      </c>
      <c r="E273" s="3">
        <v>14</v>
      </c>
      <c r="F273" s="3">
        <f t="shared" si="22"/>
        <v>1513</v>
      </c>
      <c r="G273" s="3">
        <v>1513</v>
      </c>
      <c r="H273" s="3">
        <f t="shared" si="24"/>
        <v>0</v>
      </c>
      <c r="I273" s="21">
        <f t="shared" si="25"/>
        <v>0</v>
      </c>
    </row>
    <row r="274" spans="1:9" ht="13.5">
      <c r="A274" s="1">
        <v>6</v>
      </c>
      <c r="B274" s="2" t="s">
        <v>270</v>
      </c>
      <c r="C274" s="3">
        <v>2513</v>
      </c>
      <c r="D274" s="3">
        <v>7</v>
      </c>
      <c r="E274" s="3">
        <v>35</v>
      </c>
      <c r="F274" s="3">
        <f t="shared" si="22"/>
        <v>2471</v>
      </c>
      <c r="G274" s="3">
        <v>2471</v>
      </c>
      <c r="H274" s="3">
        <f t="shared" si="24"/>
        <v>0</v>
      </c>
      <c r="I274" s="21">
        <f t="shared" si="25"/>
        <v>0</v>
      </c>
    </row>
    <row r="275" spans="1:9" ht="13.5">
      <c r="A275" s="1">
        <v>7</v>
      </c>
      <c r="B275" s="2" t="s">
        <v>271</v>
      </c>
      <c r="C275" s="3">
        <v>1255</v>
      </c>
      <c r="D275" s="3">
        <v>7</v>
      </c>
      <c r="E275" s="3">
        <v>19</v>
      </c>
      <c r="F275" s="3">
        <f t="shared" si="22"/>
        <v>1229</v>
      </c>
      <c r="G275" s="3">
        <v>1229</v>
      </c>
      <c r="H275" s="3">
        <f t="shared" si="24"/>
        <v>0</v>
      </c>
      <c r="I275" s="21">
        <f t="shared" si="25"/>
        <v>0</v>
      </c>
    </row>
    <row r="276" spans="1:9" ht="13.5">
      <c r="A276" s="1">
        <v>8</v>
      </c>
      <c r="B276" s="2" t="s">
        <v>272</v>
      </c>
      <c r="C276" s="3">
        <v>1624</v>
      </c>
      <c r="D276" s="3">
        <v>8</v>
      </c>
      <c r="E276" s="3">
        <v>24</v>
      </c>
      <c r="F276" s="3">
        <f t="shared" si="22"/>
        <v>1592</v>
      </c>
      <c r="G276" s="3">
        <v>1592</v>
      </c>
      <c r="H276" s="3">
        <f t="shared" si="24"/>
        <v>0</v>
      </c>
      <c r="I276" s="21">
        <f t="shared" si="25"/>
        <v>0</v>
      </c>
    </row>
    <row r="277" spans="1:9" ht="13.5">
      <c r="A277" s="1">
        <v>9</v>
      </c>
      <c r="B277" s="2" t="s">
        <v>273</v>
      </c>
      <c r="C277" s="3">
        <v>1604</v>
      </c>
      <c r="D277" s="3">
        <v>16</v>
      </c>
      <c r="E277" s="3">
        <v>30</v>
      </c>
      <c r="F277" s="3">
        <f t="shared" si="22"/>
        <v>1558</v>
      </c>
      <c r="G277" s="3">
        <v>1558</v>
      </c>
      <c r="H277" s="3">
        <f t="shared" si="24"/>
        <v>0</v>
      </c>
      <c r="I277" s="21">
        <f t="shared" si="25"/>
        <v>0</v>
      </c>
    </row>
    <row r="278" spans="1:9" ht="13.5">
      <c r="A278" s="1">
        <v>10</v>
      </c>
      <c r="B278" s="2" t="s">
        <v>274</v>
      </c>
      <c r="C278" s="3">
        <v>1734</v>
      </c>
      <c r="D278" s="3">
        <v>6</v>
      </c>
      <c r="E278" s="3">
        <v>56</v>
      </c>
      <c r="F278" s="3">
        <f t="shared" si="22"/>
        <v>1672</v>
      </c>
      <c r="G278" s="3">
        <v>1727</v>
      </c>
      <c r="H278" s="3">
        <f t="shared" si="24"/>
        <v>-55</v>
      </c>
      <c r="I278" s="21">
        <f t="shared" si="25"/>
        <v>18.962093862815884</v>
      </c>
    </row>
    <row r="279" spans="1:9" ht="13.5">
      <c r="A279" s="1">
        <v>11</v>
      </c>
      <c r="B279" s="2" t="s">
        <v>275</v>
      </c>
      <c r="C279" s="3">
        <v>1750</v>
      </c>
      <c r="D279" s="3">
        <v>6</v>
      </c>
      <c r="E279" s="3">
        <v>37</v>
      </c>
      <c r="F279" s="3">
        <f t="shared" si="22"/>
        <v>1707</v>
      </c>
      <c r="G279" s="3">
        <v>1707</v>
      </c>
      <c r="H279" s="3">
        <f t="shared" si="24"/>
        <v>0</v>
      </c>
      <c r="I279" s="21">
        <f t="shared" si="25"/>
        <v>0</v>
      </c>
    </row>
    <row r="280" spans="1:9" ht="13.5">
      <c r="A280" s="1">
        <v>12</v>
      </c>
      <c r="B280" s="2" t="s">
        <v>276</v>
      </c>
      <c r="C280" s="3">
        <v>3082</v>
      </c>
      <c r="D280" s="3">
        <v>3</v>
      </c>
      <c r="E280" s="3">
        <v>31</v>
      </c>
      <c r="F280" s="3">
        <f t="shared" si="22"/>
        <v>3048</v>
      </c>
      <c r="G280" s="3">
        <v>3495</v>
      </c>
      <c r="H280" s="3">
        <f t="shared" si="24"/>
        <v>-447</v>
      </c>
      <c r="I280" s="21">
        <f t="shared" si="25"/>
        <v>154.1101083032491</v>
      </c>
    </row>
    <row r="281" spans="1:9" ht="13.5">
      <c r="A281" s="1">
        <v>13</v>
      </c>
      <c r="B281" s="2" t="s">
        <v>277</v>
      </c>
      <c r="C281" s="3">
        <v>747</v>
      </c>
      <c r="D281" s="3">
        <v>3</v>
      </c>
      <c r="E281" s="3">
        <v>17</v>
      </c>
      <c r="F281" s="3">
        <f t="shared" si="22"/>
        <v>727</v>
      </c>
      <c r="G281" s="3">
        <v>915</v>
      </c>
      <c r="H281" s="3">
        <f t="shared" si="24"/>
        <v>-188</v>
      </c>
      <c r="I281" s="21">
        <f t="shared" si="25"/>
        <v>64.8158844765343</v>
      </c>
    </row>
    <row r="282" spans="1:9" ht="13.5">
      <c r="A282" s="1">
        <v>14</v>
      </c>
      <c r="B282" s="2" t="s">
        <v>278</v>
      </c>
      <c r="C282" s="3">
        <v>512</v>
      </c>
      <c r="D282" s="3">
        <v>1</v>
      </c>
      <c r="E282" s="3">
        <v>9</v>
      </c>
      <c r="F282" s="3">
        <f t="shared" si="22"/>
        <v>502</v>
      </c>
      <c r="G282" s="3">
        <v>502</v>
      </c>
      <c r="H282" s="3">
        <f t="shared" si="24"/>
        <v>0</v>
      </c>
      <c r="I282" s="21">
        <f t="shared" si="25"/>
        <v>0</v>
      </c>
    </row>
    <row r="283" spans="1:9" ht="13.5">
      <c r="A283" s="1">
        <v>16</v>
      </c>
      <c r="B283" s="2" t="s">
        <v>279</v>
      </c>
      <c r="C283" s="3">
        <v>0</v>
      </c>
      <c r="D283" s="3">
        <v>0</v>
      </c>
      <c r="E283" s="3">
        <v>0</v>
      </c>
      <c r="F283" s="3">
        <f t="shared" si="22"/>
        <v>0</v>
      </c>
      <c r="G283" s="3">
        <v>0</v>
      </c>
      <c r="H283" s="3">
        <f t="shared" si="24"/>
        <v>0</v>
      </c>
      <c r="I283" s="21">
        <f t="shared" si="25"/>
        <v>0</v>
      </c>
    </row>
    <row r="284" spans="1:9" ht="13.5">
      <c r="A284" s="1">
        <v>17</v>
      </c>
      <c r="B284" s="2" t="s">
        <v>280</v>
      </c>
      <c r="C284" s="3">
        <v>1210</v>
      </c>
      <c r="D284" s="3">
        <v>6</v>
      </c>
      <c r="E284" s="3">
        <v>13</v>
      </c>
      <c r="F284" s="3">
        <f t="shared" si="22"/>
        <v>1191</v>
      </c>
      <c r="G284" s="3">
        <v>1514</v>
      </c>
      <c r="H284" s="3">
        <f t="shared" si="24"/>
        <v>-323</v>
      </c>
      <c r="I284" s="21">
        <f t="shared" si="25"/>
        <v>111.35920577617328</v>
      </c>
    </row>
    <row r="285" spans="1:9" ht="13.5">
      <c r="A285" s="14" t="s">
        <v>467</v>
      </c>
      <c r="B285" s="15" t="s">
        <v>281</v>
      </c>
      <c r="C285" s="16">
        <f>SUM(C286:C295)</f>
        <v>25369</v>
      </c>
      <c r="D285" s="16">
        <f>SUM(D286:D295)</f>
        <v>31</v>
      </c>
      <c r="E285" s="16">
        <f>SUM(E286:E295)</f>
        <v>69</v>
      </c>
      <c r="F285" s="16">
        <f t="shared" si="22"/>
        <v>25269</v>
      </c>
      <c r="G285" s="16">
        <f>SUM(G286:G295)</f>
        <v>26948</v>
      </c>
      <c r="H285" s="16">
        <f t="shared" si="24"/>
        <v>-1679</v>
      </c>
      <c r="I285" s="23">
        <f>H285/-176206*60700</f>
        <v>578.3872285847247</v>
      </c>
    </row>
    <row r="286" spans="1:9" ht="13.5">
      <c r="A286" s="1">
        <v>1</v>
      </c>
      <c r="B286" s="2" t="s">
        <v>282</v>
      </c>
      <c r="C286" s="3">
        <v>3301</v>
      </c>
      <c r="D286" s="3">
        <v>2</v>
      </c>
      <c r="E286" s="3">
        <v>7</v>
      </c>
      <c r="F286" s="3">
        <f t="shared" si="22"/>
        <v>3292</v>
      </c>
      <c r="G286" s="44">
        <v>3312</v>
      </c>
      <c r="H286" s="3">
        <f t="shared" si="24"/>
        <v>-20</v>
      </c>
      <c r="I286" s="21">
        <f>H286/-1679*578</f>
        <v>6.885050625372245</v>
      </c>
    </row>
    <row r="287" spans="1:9" ht="13.5">
      <c r="A287" s="1">
        <v>2</v>
      </c>
      <c r="B287" s="2" t="s">
        <v>283</v>
      </c>
      <c r="C287" s="3">
        <v>4194</v>
      </c>
      <c r="D287" s="3">
        <v>4</v>
      </c>
      <c r="E287" s="3">
        <v>11</v>
      </c>
      <c r="F287" s="3">
        <f t="shared" si="22"/>
        <v>4179</v>
      </c>
      <c r="G287" s="44">
        <v>4179</v>
      </c>
      <c r="H287" s="3">
        <f t="shared" si="24"/>
        <v>0</v>
      </c>
      <c r="I287" s="21">
        <f aca="true" t="shared" si="26" ref="I287:I295">H287/-1679*578</f>
        <v>0</v>
      </c>
    </row>
    <row r="288" spans="1:9" ht="13.5">
      <c r="A288" s="1">
        <v>3</v>
      </c>
      <c r="B288" s="2" t="s">
        <v>284</v>
      </c>
      <c r="C288" s="3">
        <v>3772</v>
      </c>
      <c r="D288" s="3">
        <v>3</v>
      </c>
      <c r="E288" s="3">
        <v>16</v>
      </c>
      <c r="F288" s="3">
        <f t="shared" si="22"/>
        <v>3753</v>
      </c>
      <c r="G288" s="44">
        <v>3888</v>
      </c>
      <c r="H288" s="3">
        <f t="shared" si="24"/>
        <v>-135</v>
      </c>
      <c r="I288" s="21">
        <f t="shared" si="26"/>
        <v>46.47409172126266</v>
      </c>
    </row>
    <row r="289" spans="1:9" ht="13.5">
      <c r="A289" s="1">
        <v>4</v>
      </c>
      <c r="B289" s="2" t="s">
        <v>285</v>
      </c>
      <c r="C289" s="3">
        <v>2533</v>
      </c>
      <c r="D289" s="3">
        <v>3</v>
      </c>
      <c r="E289" s="3">
        <v>7</v>
      </c>
      <c r="F289" s="3">
        <f t="shared" si="22"/>
        <v>2523</v>
      </c>
      <c r="G289" s="44">
        <v>2740</v>
      </c>
      <c r="H289" s="3">
        <f t="shared" si="24"/>
        <v>-217</v>
      </c>
      <c r="I289" s="21">
        <f t="shared" si="26"/>
        <v>74.70279928528886</v>
      </c>
    </row>
    <row r="290" spans="1:9" ht="13.5">
      <c r="A290" s="1">
        <v>5</v>
      </c>
      <c r="B290" s="2" t="s">
        <v>286</v>
      </c>
      <c r="C290" s="3">
        <v>2877</v>
      </c>
      <c r="D290" s="3">
        <v>3</v>
      </c>
      <c r="E290" s="3">
        <v>1</v>
      </c>
      <c r="F290" s="3">
        <f t="shared" si="22"/>
        <v>2873</v>
      </c>
      <c r="G290" s="44">
        <v>2873</v>
      </c>
      <c r="H290" s="3">
        <f t="shared" si="24"/>
        <v>0</v>
      </c>
      <c r="I290" s="21">
        <f t="shared" si="26"/>
        <v>0</v>
      </c>
    </row>
    <row r="291" spans="1:9" ht="13.5">
      <c r="A291" s="1">
        <v>6</v>
      </c>
      <c r="B291" s="2" t="s">
        <v>287</v>
      </c>
      <c r="C291" s="3">
        <v>2003</v>
      </c>
      <c r="D291" s="3">
        <v>0</v>
      </c>
      <c r="E291" s="3">
        <v>1</v>
      </c>
      <c r="F291" s="3">
        <f t="shared" si="22"/>
        <v>2002</v>
      </c>
      <c r="G291" s="44">
        <v>2002</v>
      </c>
      <c r="H291" s="3">
        <f t="shared" si="24"/>
        <v>0</v>
      </c>
      <c r="I291" s="21">
        <f t="shared" si="26"/>
        <v>0</v>
      </c>
    </row>
    <row r="292" spans="1:9" ht="13.5">
      <c r="A292" s="1">
        <v>7</v>
      </c>
      <c r="B292" s="2" t="s">
        <v>288</v>
      </c>
      <c r="C292" s="3">
        <v>1237</v>
      </c>
      <c r="D292" s="3">
        <v>1</v>
      </c>
      <c r="E292" s="3">
        <v>4</v>
      </c>
      <c r="F292" s="3">
        <f t="shared" si="22"/>
        <v>1232</v>
      </c>
      <c r="G292" s="44">
        <v>2480</v>
      </c>
      <c r="H292" s="3">
        <f t="shared" si="24"/>
        <v>-1248</v>
      </c>
      <c r="I292" s="21">
        <f t="shared" si="26"/>
        <v>429.6271590232281</v>
      </c>
    </row>
    <row r="293" spans="1:9" ht="13.5">
      <c r="A293" s="1">
        <v>8</v>
      </c>
      <c r="B293" s="2" t="s">
        <v>289</v>
      </c>
      <c r="C293" s="3">
        <v>1960</v>
      </c>
      <c r="D293" s="3">
        <v>7</v>
      </c>
      <c r="E293" s="3">
        <v>3</v>
      </c>
      <c r="F293" s="3">
        <f t="shared" si="22"/>
        <v>1950</v>
      </c>
      <c r="G293" s="44">
        <v>1950</v>
      </c>
      <c r="H293" s="3">
        <f t="shared" si="24"/>
        <v>0</v>
      </c>
      <c r="I293" s="21">
        <f t="shared" si="26"/>
        <v>0</v>
      </c>
    </row>
    <row r="294" spans="1:9" ht="13.5">
      <c r="A294" s="1">
        <v>9</v>
      </c>
      <c r="B294" s="2" t="s">
        <v>290</v>
      </c>
      <c r="C294" s="3">
        <v>2233</v>
      </c>
      <c r="D294" s="3">
        <v>8</v>
      </c>
      <c r="E294" s="3">
        <v>17</v>
      </c>
      <c r="F294" s="3">
        <f t="shared" si="22"/>
        <v>2208</v>
      </c>
      <c r="G294" s="44">
        <v>2267</v>
      </c>
      <c r="H294" s="3">
        <f aca="true" t="shared" si="27" ref="H294:H325">F294-G294</f>
        <v>-59</v>
      </c>
      <c r="I294" s="21">
        <f t="shared" si="26"/>
        <v>20.310899344848124</v>
      </c>
    </row>
    <row r="295" spans="1:9" ht="13.5">
      <c r="A295" s="1">
        <v>10</v>
      </c>
      <c r="B295" s="2" t="s">
        <v>291</v>
      </c>
      <c r="C295" s="3">
        <v>1259</v>
      </c>
      <c r="D295" s="3">
        <v>0</v>
      </c>
      <c r="E295" s="3">
        <v>2</v>
      </c>
      <c r="F295" s="3">
        <f t="shared" si="22"/>
        <v>1257</v>
      </c>
      <c r="G295" s="3">
        <v>1257</v>
      </c>
      <c r="H295" s="3">
        <f t="shared" si="27"/>
        <v>0</v>
      </c>
      <c r="I295" s="21">
        <f t="shared" si="26"/>
        <v>0</v>
      </c>
    </row>
    <row r="296" spans="1:9" ht="13.5">
      <c r="A296" s="14" t="s">
        <v>468</v>
      </c>
      <c r="B296" s="15" t="s">
        <v>292</v>
      </c>
      <c r="C296" s="16">
        <f>SUM(C297:C310)</f>
        <v>14671</v>
      </c>
      <c r="D296" s="16">
        <f>SUM(D297:D310)</f>
        <v>28</v>
      </c>
      <c r="E296" s="16">
        <f>SUM(E297:E310)</f>
        <v>55</v>
      </c>
      <c r="F296" s="16">
        <f t="shared" si="22"/>
        <v>14588</v>
      </c>
      <c r="G296" s="16">
        <f>SUM(G297:G310)</f>
        <v>20741</v>
      </c>
      <c r="H296" s="16">
        <f t="shared" si="27"/>
        <v>-6153</v>
      </c>
      <c r="I296" s="23">
        <f>H296/-176206*60700</f>
        <v>2119.604894271478</v>
      </c>
    </row>
    <row r="297" spans="1:9" ht="13.5">
      <c r="A297" s="1">
        <v>1</v>
      </c>
      <c r="B297" s="2" t="s">
        <v>293</v>
      </c>
      <c r="C297" s="3">
        <v>1087</v>
      </c>
      <c r="D297" s="3">
        <v>1</v>
      </c>
      <c r="E297" s="3">
        <v>3</v>
      </c>
      <c r="F297" s="3">
        <f t="shared" si="22"/>
        <v>1083</v>
      </c>
      <c r="G297" s="3">
        <v>3636</v>
      </c>
      <c r="H297" s="3">
        <f t="shared" si="27"/>
        <v>-2553</v>
      </c>
      <c r="I297" s="21">
        <f>H297/6153*-2120</f>
        <v>879.6294490492443</v>
      </c>
    </row>
    <row r="298" spans="1:9" ht="13.5">
      <c r="A298" s="1">
        <v>2</v>
      </c>
      <c r="B298" s="2" t="s">
        <v>294</v>
      </c>
      <c r="C298" s="3">
        <v>1815</v>
      </c>
      <c r="D298" s="3">
        <v>5</v>
      </c>
      <c r="E298" s="3">
        <v>5</v>
      </c>
      <c r="F298" s="3">
        <f t="shared" si="22"/>
        <v>1805</v>
      </c>
      <c r="G298" s="3">
        <v>1838</v>
      </c>
      <c r="H298" s="3">
        <f t="shared" si="27"/>
        <v>-33</v>
      </c>
      <c r="I298" s="21">
        <f aca="true" t="shared" si="28" ref="I298:I310">H298/6153*-2120</f>
        <v>11.37006338371526</v>
      </c>
    </row>
    <row r="299" spans="1:9" ht="13.5">
      <c r="A299" s="1">
        <v>3</v>
      </c>
      <c r="B299" s="2" t="s">
        <v>295</v>
      </c>
      <c r="C299" s="3">
        <v>2365</v>
      </c>
      <c r="D299" s="3">
        <v>4</v>
      </c>
      <c r="E299" s="3">
        <v>12</v>
      </c>
      <c r="F299" s="3">
        <f t="shared" si="22"/>
        <v>2349</v>
      </c>
      <c r="G299" s="3">
        <v>4481</v>
      </c>
      <c r="H299" s="3">
        <f t="shared" si="27"/>
        <v>-2132</v>
      </c>
      <c r="I299" s="21">
        <f t="shared" si="28"/>
        <v>734.5750040630586</v>
      </c>
    </row>
    <row r="300" spans="1:9" ht="13.5">
      <c r="A300" s="1">
        <v>4</v>
      </c>
      <c r="B300" s="2" t="s">
        <v>296</v>
      </c>
      <c r="C300" s="3">
        <v>1110</v>
      </c>
      <c r="D300" s="3">
        <v>3</v>
      </c>
      <c r="E300" s="3">
        <v>5</v>
      </c>
      <c r="F300" s="3">
        <f t="shared" si="22"/>
        <v>1102</v>
      </c>
      <c r="G300" s="3">
        <v>2305</v>
      </c>
      <c r="H300" s="3">
        <f t="shared" si="27"/>
        <v>-1203</v>
      </c>
      <c r="I300" s="21">
        <f t="shared" si="28"/>
        <v>414.49049244271083</v>
      </c>
    </row>
    <row r="301" spans="1:9" ht="13.5">
      <c r="A301" s="1">
        <v>5</v>
      </c>
      <c r="B301" s="2" t="s">
        <v>297</v>
      </c>
      <c r="C301" s="3">
        <v>1075</v>
      </c>
      <c r="D301" s="3">
        <v>1</v>
      </c>
      <c r="E301" s="3">
        <v>3</v>
      </c>
      <c r="F301" s="3">
        <f t="shared" si="22"/>
        <v>1071</v>
      </c>
      <c r="G301" s="3">
        <v>1303</v>
      </c>
      <c r="H301" s="3">
        <f t="shared" si="27"/>
        <v>-232</v>
      </c>
      <c r="I301" s="21">
        <f t="shared" si="28"/>
        <v>79.93499106127094</v>
      </c>
    </row>
    <row r="302" spans="1:9" ht="13.5">
      <c r="A302" s="1">
        <v>6</v>
      </c>
      <c r="B302" s="2" t="s">
        <v>298</v>
      </c>
      <c r="C302" s="3">
        <v>985</v>
      </c>
      <c r="D302" s="3">
        <v>1</v>
      </c>
      <c r="E302" s="3">
        <v>8</v>
      </c>
      <c r="F302" s="3">
        <f t="shared" si="22"/>
        <v>976</v>
      </c>
      <c r="G302" s="3">
        <v>976</v>
      </c>
      <c r="H302" s="3">
        <f t="shared" si="27"/>
        <v>0</v>
      </c>
      <c r="I302" s="21">
        <f t="shared" si="28"/>
        <v>0</v>
      </c>
    </row>
    <row r="303" spans="1:9" ht="13.5">
      <c r="A303" s="1">
        <v>7</v>
      </c>
      <c r="B303" s="2" t="s">
        <v>299</v>
      </c>
      <c r="C303" s="3">
        <v>237</v>
      </c>
      <c r="D303" s="3">
        <v>0</v>
      </c>
      <c r="E303" s="3">
        <v>0</v>
      </c>
      <c r="F303" s="3">
        <f t="shared" si="22"/>
        <v>237</v>
      </c>
      <c r="G303" s="3">
        <v>237</v>
      </c>
      <c r="H303" s="3">
        <f t="shared" si="27"/>
        <v>0</v>
      </c>
      <c r="I303" s="21">
        <f t="shared" si="28"/>
        <v>0</v>
      </c>
    </row>
    <row r="304" spans="1:9" ht="13.5">
      <c r="A304" s="1">
        <v>8</v>
      </c>
      <c r="B304" s="2" t="s">
        <v>300</v>
      </c>
      <c r="C304" s="3">
        <v>439</v>
      </c>
      <c r="D304" s="3">
        <v>0</v>
      </c>
      <c r="E304" s="3">
        <v>1</v>
      </c>
      <c r="F304" s="3">
        <f t="shared" si="22"/>
        <v>438</v>
      </c>
      <c r="G304" s="3">
        <v>438</v>
      </c>
      <c r="H304" s="3">
        <f t="shared" si="27"/>
        <v>0</v>
      </c>
      <c r="I304" s="21">
        <f t="shared" si="28"/>
        <v>0</v>
      </c>
    </row>
    <row r="305" spans="1:9" ht="13.5">
      <c r="A305" s="1">
        <v>9</v>
      </c>
      <c r="B305" s="2" t="s">
        <v>301</v>
      </c>
      <c r="C305" s="3">
        <v>463</v>
      </c>
      <c r="D305" s="3">
        <v>1</v>
      </c>
      <c r="E305" s="3">
        <v>1</v>
      </c>
      <c r="F305" s="3">
        <f t="shared" si="22"/>
        <v>461</v>
      </c>
      <c r="G305" s="3">
        <v>461</v>
      </c>
      <c r="H305" s="3">
        <f t="shared" si="27"/>
        <v>0</v>
      </c>
      <c r="I305" s="21">
        <f t="shared" si="28"/>
        <v>0</v>
      </c>
    </row>
    <row r="306" spans="1:9" ht="13.5">
      <c r="A306" s="1">
        <v>10</v>
      </c>
      <c r="B306" s="2" t="s">
        <v>302</v>
      </c>
      <c r="C306" s="3">
        <v>1072</v>
      </c>
      <c r="D306" s="3">
        <v>3</v>
      </c>
      <c r="E306" s="3">
        <v>2</v>
      </c>
      <c r="F306" s="3">
        <f t="shared" si="22"/>
        <v>1067</v>
      </c>
      <c r="G306" s="3">
        <v>1067</v>
      </c>
      <c r="H306" s="3">
        <f t="shared" si="27"/>
        <v>0</v>
      </c>
      <c r="I306" s="21">
        <f t="shared" si="28"/>
        <v>0</v>
      </c>
    </row>
    <row r="307" spans="1:9" ht="13.5">
      <c r="A307" s="1">
        <v>11</v>
      </c>
      <c r="B307" s="2" t="s">
        <v>303</v>
      </c>
      <c r="C307" s="3">
        <v>1254</v>
      </c>
      <c r="D307" s="3">
        <v>6</v>
      </c>
      <c r="E307" s="3">
        <v>6</v>
      </c>
      <c r="F307" s="3">
        <f t="shared" si="22"/>
        <v>1242</v>
      </c>
      <c r="G307" s="3">
        <v>1242</v>
      </c>
      <c r="H307" s="3">
        <f t="shared" si="27"/>
        <v>0</v>
      </c>
      <c r="I307" s="21">
        <f t="shared" si="28"/>
        <v>0</v>
      </c>
    </row>
    <row r="308" spans="1:9" ht="13.5">
      <c r="A308" s="1">
        <v>12</v>
      </c>
      <c r="B308" s="2" t="s">
        <v>304</v>
      </c>
      <c r="C308" s="3">
        <v>775</v>
      </c>
      <c r="D308" s="3">
        <v>1</v>
      </c>
      <c r="E308" s="3">
        <v>1</v>
      </c>
      <c r="F308" s="3">
        <f t="shared" si="22"/>
        <v>773</v>
      </c>
      <c r="G308" s="3">
        <v>773</v>
      </c>
      <c r="H308" s="3">
        <f t="shared" si="27"/>
        <v>0</v>
      </c>
      <c r="I308" s="21">
        <f t="shared" si="28"/>
        <v>0</v>
      </c>
    </row>
    <row r="309" spans="1:9" ht="13.5">
      <c r="A309" s="1">
        <v>13</v>
      </c>
      <c r="B309" s="2" t="s">
        <v>305</v>
      </c>
      <c r="C309" s="3">
        <v>575</v>
      </c>
      <c r="D309" s="3">
        <v>0</v>
      </c>
      <c r="E309" s="3">
        <v>1</v>
      </c>
      <c r="F309" s="3">
        <f t="shared" si="22"/>
        <v>574</v>
      </c>
      <c r="G309" s="3">
        <v>574</v>
      </c>
      <c r="H309" s="3">
        <f t="shared" si="27"/>
        <v>0</v>
      </c>
      <c r="I309" s="21">
        <f t="shared" si="28"/>
        <v>0</v>
      </c>
    </row>
    <row r="310" spans="1:9" ht="13.5">
      <c r="A310" s="1">
        <v>14</v>
      </c>
      <c r="B310" s="2" t="s">
        <v>306</v>
      </c>
      <c r="C310" s="3">
        <v>1419</v>
      </c>
      <c r="D310" s="3">
        <v>2</v>
      </c>
      <c r="E310" s="3">
        <v>7</v>
      </c>
      <c r="F310" s="3">
        <f t="shared" si="22"/>
        <v>1410</v>
      </c>
      <c r="G310" s="3">
        <v>1410</v>
      </c>
      <c r="H310" s="3">
        <f t="shared" si="27"/>
        <v>0</v>
      </c>
      <c r="I310" s="21">
        <f t="shared" si="28"/>
        <v>0</v>
      </c>
    </row>
    <row r="311" spans="1:9" ht="13.5">
      <c r="A311" s="14" t="s">
        <v>469</v>
      </c>
      <c r="B311" s="15" t="s">
        <v>307</v>
      </c>
      <c r="C311" s="16">
        <f>SUM(C312:C324)</f>
        <v>20304</v>
      </c>
      <c r="D311" s="16">
        <f>SUM(D312:D324)</f>
        <v>37</v>
      </c>
      <c r="E311" s="16">
        <f>SUM(E312:E324)</f>
        <v>78</v>
      </c>
      <c r="F311" s="16">
        <f t="shared" si="22"/>
        <v>20189</v>
      </c>
      <c r="G311" s="16">
        <f>SUM(G312:G324)</f>
        <v>22337</v>
      </c>
      <c r="H311" s="16">
        <f t="shared" si="27"/>
        <v>-2148</v>
      </c>
      <c r="I311" s="23">
        <f>H311/-176206*60700</f>
        <v>739.9498314472834</v>
      </c>
    </row>
    <row r="312" spans="1:9" ht="13.5">
      <c r="A312" s="1">
        <v>1</v>
      </c>
      <c r="B312" s="2" t="s">
        <v>308</v>
      </c>
      <c r="C312" s="3">
        <v>1419</v>
      </c>
      <c r="D312" s="3">
        <v>2</v>
      </c>
      <c r="E312" s="3">
        <v>5</v>
      </c>
      <c r="F312" s="3">
        <f t="shared" si="22"/>
        <v>1412</v>
      </c>
      <c r="G312" s="3">
        <v>1456</v>
      </c>
      <c r="H312" s="3">
        <f t="shared" si="27"/>
        <v>-44</v>
      </c>
      <c r="I312" s="21">
        <f>H312/2148*-740</f>
        <v>15.15828677839851</v>
      </c>
    </row>
    <row r="313" spans="1:9" ht="13.5">
      <c r="A313" s="1">
        <v>2</v>
      </c>
      <c r="B313" s="2" t="s">
        <v>309</v>
      </c>
      <c r="C313" s="3">
        <v>1085</v>
      </c>
      <c r="D313" s="3">
        <v>1</v>
      </c>
      <c r="E313" s="3">
        <v>5</v>
      </c>
      <c r="F313" s="3">
        <f t="shared" si="22"/>
        <v>1079</v>
      </c>
      <c r="G313" s="3">
        <v>2383</v>
      </c>
      <c r="H313" s="3">
        <f t="shared" si="27"/>
        <v>-1304</v>
      </c>
      <c r="I313" s="21">
        <f aca="true" t="shared" si="29" ref="I313:I324">H313/2148*-740</f>
        <v>449.2364990689013</v>
      </c>
    </row>
    <row r="314" spans="1:9" ht="13.5">
      <c r="A314" s="1">
        <v>3</v>
      </c>
      <c r="B314" s="2" t="s">
        <v>310</v>
      </c>
      <c r="C314" s="3">
        <v>2292</v>
      </c>
      <c r="D314" s="3">
        <v>3</v>
      </c>
      <c r="E314" s="3">
        <v>10</v>
      </c>
      <c r="F314" s="3">
        <f t="shared" si="22"/>
        <v>2279</v>
      </c>
      <c r="G314" s="3">
        <v>2540</v>
      </c>
      <c r="H314" s="3">
        <f t="shared" si="27"/>
        <v>-261</v>
      </c>
      <c r="I314" s="21">
        <f t="shared" si="29"/>
        <v>89.91620111731844</v>
      </c>
    </row>
    <row r="315" spans="1:9" ht="13.5">
      <c r="A315" s="1">
        <v>4</v>
      </c>
      <c r="B315" s="2" t="s">
        <v>311</v>
      </c>
      <c r="C315" s="3">
        <v>1588</v>
      </c>
      <c r="D315" s="3">
        <v>0</v>
      </c>
      <c r="E315" s="3">
        <v>3</v>
      </c>
      <c r="F315" s="3">
        <f t="shared" si="22"/>
        <v>1585</v>
      </c>
      <c r="G315" s="3">
        <v>1623</v>
      </c>
      <c r="H315" s="3">
        <f t="shared" si="27"/>
        <v>-38</v>
      </c>
      <c r="I315" s="21">
        <f t="shared" si="29"/>
        <v>13.091247672253258</v>
      </c>
    </row>
    <row r="316" spans="1:9" ht="13.5">
      <c r="A316" s="1">
        <v>5</v>
      </c>
      <c r="B316" s="2" t="s">
        <v>312</v>
      </c>
      <c r="C316" s="3">
        <v>1357</v>
      </c>
      <c r="D316" s="3">
        <v>1</v>
      </c>
      <c r="E316" s="3">
        <v>5</v>
      </c>
      <c r="F316" s="3">
        <f t="shared" si="22"/>
        <v>1351</v>
      </c>
      <c r="G316" s="3">
        <v>1451</v>
      </c>
      <c r="H316" s="3">
        <f t="shared" si="27"/>
        <v>-100</v>
      </c>
      <c r="I316" s="21">
        <f t="shared" si="29"/>
        <v>34.45065176908752</v>
      </c>
    </row>
    <row r="317" spans="1:9" ht="13.5">
      <c r="A317" s="1">
        <v>6</v>
      </c>
      <c r="B317" s="2" t="s">
        <v>313</v>
      </c>
      <c r="C317" s="3">
        <v>2176</v>
      </c>
      <c r="D317" s="3">
        <v>2</v>
      </c>
      <c r="E317" s="3">
        <v>8</v>
      </c>
      <c r="F317" s="3">
        <f t="shared" si="22"/>
        <v>2166</v>
      </c>
      <c r="G317" s="3">
        <v>2210</v>
      </c>
      <c r="H317" s="3">
        <f t="shared" si="27"/>
        <v>-44</v>
      </c>
      <c r="I317" s="21">
        <f t="shared" si="29"/>
        <v>15.15828677839851</v>
      </c>
    </row>
    <row r="318" spans="1:9" ht="13.5">
      <c r="A318" s="1">
        <v>7</v>
      </c>
      <c r="B318" s="2" t="s">
        <v>314</v>
      </c>
      <c r="C318" s="3">
        <v>2290</v>
      </c>
      <c r="D318" s="3">
        <v>6</v>
      </c>
      <c r="E318" s="3">
        <v>11</v>
      </c>
      <c r="F318" s="3">
        <f t="shared" si="22"/>
        <v>2273</v>
      </c>
      <c r="G318" s="3">
        <v>2356</v>
      </c>
      <c r="H318" s="3">
        <f t="shared" si="27"/>
        <v>-83</v>
      </c>
      <c r="I318" s="21">
        <f t="shared" si="29"/>
        <v>28.594040968342647</v>
      </c>
    </row>
    <row r="319" spans="1:9" ht="13.5">
      <c r="A319" s="1">
        <v>8</v>
      </c>
      <c r="B319" s="2" t="s">
        <v>315</v>
      </c>
      <c r="C319" s="3">
        <v>2320</v>
      </c>
      <c r="D319" s="3">
        <v>1</v>
      </c>
      <c r="E319" s="3">
        <v>2</v>
      </c>
      <c r="F319" s="3">
        <f aca="true" t="shared" si="30" ref="F319:F382">C319-E319-D319</f>
        <v>2317</v>
      </c>
      <c r="G319" s="3">
        <v>2495</v>
      </c>
      <c r="H319" s="3">
        <f t="shared" si="27"/>
        <v>-178</v>
      </c>
      <c r="I319" s="21">
        <f t="shared" si="29"/>
        <v>61.32216014897579</v>
      </c>
    </row>
    <row r="320" spans="1:9" ht="13.5">
      <c r="A320" s="1">
        <v>9</v>
      </c>
      <c r="B320" s="2" t="s">
        <v>316</v>
      </c>
      <c r="C320" s="3">
        <v>1469</v>
      </c>
      <c r="D320" s="3">
        <v>4</v>
      </c>
      <c r="E320" s="3">
        <v>4</v>
      </c>
      <c r="F320" s="3">
        <f t="shared" si="30"/>
        <v>1461</v>
      </c>
      <c r="G320" s="3">
        <v>1519</v>
      </c>
      <c r="H320" s="3">
        <f t="shared" si="27"/>
        <v>-58</v>
      </c>
      <c r="I320" s="21">
        <f t="shared" si="29"/>
        <v>19.981378026070765</v>
      </c>
    </row>
    <row r="321" spans="1:9" ht="13.5">
      <c r="A321" s="1">
        <v>10</v>
      </c>
      <c r="B321" s="2" t="s">
        <v>317</v>
      </c>
      <c r="C321" s="3">
        <v>1032</v>
      </c>
      <c r="D321" s="3">
        <v>1</v>
      </c>
      <c r="E321" s="3">
        <v>1</v>
      </c>
      <c r="F321" s="3">
        <f t="shared" si="30"/>
        <v>1030</v>
      </c>
      <c r="G321" s="3">
        <v>1030</v>
      </c>
      <c r="H321" s="3">
        <f t="shared" si="27"/>
        <v>0</v>
      </c>
      <c r="I321" s="21">
        <f t="shared" si="29"/>
        <v>0</v>
      </c>
    </row>
    <row r="322" spans="1:9" ht="13.5">
      <c r="A322" s="1">
        <v>11</v>
      </c>
      <c r="B322" s="2" t="s">
        <v>318</v>
      </c>
      <c r="C322" s="3">
        <v>11</v>
      </c>
      <c r="D322" s="3">
        <v>0</v>
      </c>
      <c r="E322" s="3">
        <v>0</v>
      </c>
      <c r="F322" s="3">
        <f t="shared" si="30"/>
        <v>11</v>
      </c>
      <c r="G322" s="3">
        <v>11</v>
      </c>
      <c r="H322" s="3">
        <f t="shared" si="27"/>
        <v>0</v>
      </c>
      <c r="I322" s="21">
        <f t="shared" si="29"/>
        <v>0</v>
      </c>
    </row>
    <row r="323" spans="1:9" ht="13.5">
      <c r="A323" s="1">
        <v>12</v>
      </c>
      <c r="B323" s="2" t="s">
        <v>319</v>
      </c>
      <c r="C323" s="3">
        <f>2416+16</f>
        <v>2432</v>
      </c>
      <c r="D323" s="3">
        <v>13</v>
      </c>
      <c r="E323" s="3">
        <v>22</v>
      </c>
      <c r="F323" s="3">
        <f t="shared" si="30"/>
        <v>2397</v>
      </c>
      <c r="G323" s="3">
        <v>2435</v>
      </c>
      <c r="H323" s="3">
        <f t="shared" si="27"/>
        <v>-38</v>
      </c>
      <c r="I323" s="21">
        <f t="shared" si="29"/>
        <v>13.091247672253258</v>
      </c>
    </row>
    <row r="324" spans="1:9" ht="13.5">
      <c r="A324" s="1">
        <v>13</v>
      </c>
      <c r="B324" s="2" t="s">
        <v>320</v>
      </c>
      <c r="C324" s="3">
        <v>833</v>
      </c>
      <c r="D324" s="3">
        <v>3</v>
      </c>
      <c r="E324" s="3">
        <v>2</v>
      </c>
      <c r="F324" s="3">
        <f t="shared" si="30"/>
        <v>828</v>
      </c>
      <c r="G324" s="3">
        <v>828</v>
      </c>
      <c r="H324" s="3">
        <f t="shared" si="27"/>
        <v>0</v>
      </c>
      <c r="I324" s="21">
        <f t="shared" si="29"/>
        <v>0</v>
      </c>
    </row>
    <row r="325" spans="1:9" ht="13.5">
      <c r="A325" s="14" t="s">
        <v>470</v>
      </c>
      <c r="B325" s="15" t="s">
        <v>321</v>
      </c>
      <c r="C325" s="16">
        <f>SUM(C326:C338)</f>
        <v>15040</v>
      </c>
      <c r="D325" s="16">
        <f>SUM(D326:D338)</f>
        <v>37</v>
      </c>
      <c r="E325" s="16">
        <f>SUM(E326:E338)</f>
        <v>53</v>
      </c>
      <c r="F325" s="16">
        <f t="shared" si="30"/>
        <v>14950</v>
      </c>
      <c r="G325" s="16">
        <f>SUM(G326:G338)</f>
        <v>17416</v>
      </c>
      <c r="H325" s="16">
        <f t="shared" si="27"/>
        <v>-2466</v>
      </c>
      <c r="I325" s="23">
        <f>H325/-176206*60700</f>
        <v>849.4954768850096</v>
      </c>
    </row>
    <row r="326" spans="1:9" ht="13.5">
      <c r="A326" s="1">
        <v>1</v>
      </c>
      <c r="B326" s="2" t="s">
        <v>322</v>
      </c>
      <c r="C326" s="3">
        <v>1259</v>
      </c>
      <c r="D326" s="3">
        <v>0</v>
      </c>
      <c r="E326" s="3">
        <v>0</v>
      </c>
      <c r="F326" s="3">
        <f t="shared" si="30"/>
        <v>1259</v>
      </c>
      <c r="G326" s="3">
        <v>1939</v>
      </c>
      <c r="H326" s="3">
        <f aca="true" t="shared" si="31" ref="H326:H357">F326-G326</f>
        <v>-680</v>
      </c>
      <c r="I326" s="21">
        <f>H326/2466*-849</f>
        <v>234.1119221411192</v>
      </c>
    </row>
    <row r="327" spans="1:9" ht="13.5">
      <c r="A327" s="1">
        <v>2</v>
      </c>
      <c r="B327" s="2" t="s">
        <v>323</v>
      </c>
      <c r="C327" s="3">
        <v>3252</v>
      </c>
      <c r="D327" s="3">
        <v>5</v>
      </c>
      <c r="E327" s="3">
        <v>12</v>
      </c>
      <c r="F327" s="3">
        <f t="shared" si="30"/>
        <v>3235</v>
      </c>
      <c r="G327" s="3">
        <v>4147</v>
      </c>
      <c r="H327" s="3">
        <f t="shared" si="31"/>
        <v>-912</v>
      </c>
      <c r="I327" s="21">
        <f>H327/2466*-849</f>
        <v>313.985401459854</v>
      </c>
    </row>
    <row r="328" spans="1:9" ht="13.5">
      <c r="A328" s="1">
        <v>3</v>
      </c>
      <c r="B328" s="2" t="s">
        <v>324</v>
      </c>
      <c r="C328" s="3">
        <v>1021</v>
      </c>
      <c r="D328" s="3">
        <v>4</v>
      </c>
      <c r="E328" s="3">
        <v>5</v>
      </c>
      <c r="F328" s="3">
        <f t="shared" si="30"/>
        <v>1012</v>
      </c>
      <c r="G328" s="3">
        <v>1012</v>
      </c>
      <c r="H328" s="3">
        <f t="shared" si="31"/>
        <v>0</v>
      </c>
      <c r="I328" s="21">
        <f aca="true" t="shared" si="32" ref="I328:I338">H328/2466*-849</f>
        <v>0</v>
      </c>
    </row>
    <row r="329" spans="1:9" ht="13.5">
      <c r="A329" s="1">
        <v>4</v>
      </c>
      <c r="B329" s="2" t="s">
        <v>325</v>
      </c>
      <c r="C329" s="3">
        <v>961</v>
      </c>
      <c r="D329" s="3">
        <v>0</v>
      </c>
      <c r="E329" s="3">
        <v>3</v>
      </c>
      <c r="F329" s="3">
        <f t="shared" si="30"/>
        <v>958</v>
      </c>
      <c r="G329" s="3">
        <v>1081</v>
      </c>
      <c r="H329" s="3">
        <f t="shared" si="31"/>
        <v>-123</v>
      </c>
      <c r="I329" s="21">
        <f t="shared" si="32"/>
        <v>42.346715328467155</v>
      </c>
    </row>
    <row r="330" spans="1:9" ht="13.5">
      <c r="A330" s="1">
        <v>5</v>
      </c>
      <c r="B330" s="2" t="s">
        <v>326</v>
      </c>
      <c r="C330" s="3">
        <v>484</v>
      </c>
      <c r="D330" s="3">
        <v>2</v>
      </c>
      <c r="E330" s="3">
        <v>1</v>
      </c>
      <c r="F330" s="3">
        <f t="shared" si="30"/>
        <v>481</v>
      </c>
      <c r="G330" s="3">
        <v>481</v>
      </c>
      <c r="H330" s="3">
        <f t="shared" si="31"/>
        <v>0</v>
      </c>
      <c r="I330" s="21">
        <f t="shared" si="32"/>
        <v>0</v>
      </c>
    </row>
    <row r="331" spans="1:9" ht="13.5">
      <c r="A331" s="1">
        <v>6</v>
      </c>
      <c r="B331" s="2" t="s">
        <v>327</v>
      </c>
      <c r="C331" s="3">
        <v>1280</v>
      </c>
      <c r="D331" s="3">
        <v>9</v>
      </c>
      <c r="E331" s="3">
        <v>12</v>
      </c>
      <c r="F331" s="3">
        <f t="shared" si="30"/>
        <v>1259</v>
      </c>
      <c r="G331" s="3">
        <v>1636</v>
      </c>
      <c r="H331" s="3">
        <f t="shared" si="31"/>
        <v>-377</v>
      </c>
      <c r="I331" s="21">
        <f t="shared" si="32"/>
        <v>129.79440389294402</v>
      </c>
    </row>
    <row r="332" spans="1:9" ht="13.5">
      <c r="A332" s="1">
        <v>7</v>
      </c>
      <c r="B332" s="2" t="s">
        <v>328</v>
      </c>
      <c r="C332" s="3">
        <v>703</v>
      </c>
      <c r="D332" s="3">
        <v>4</v>
      </c>
      <c r="E332" s="3">
        <v>2</v>
      </c>
      <c r="F332" s="3">
        <f t="shared" si="30"/>
        <v>697</v>
      </c>
      <c r="G332" s="3">
        <v>697</v>
      </c>
      <c r="H332" s="3">
        <f t="shared" si="31"/>
        <v>0</v>
      </c>
      <c r="I332" s="21">
        <f t="shared" si="32"/>
        <v>0</v>
      </c>
    </row>
    <row r="333" spans="1:9" ht="13.5">
      <c r="A333" s="1">
        <v>8</v>
      </c>
      <c r="B333" s="2" t="s">
        <v>329</v>
      </c>
      <c r="C333" s="3">
        <v>531</v>
      </c>
      <c r="D333" s="3">
        <v>0</v>
      </c>
      <c r="E333" s="3">
        <v>4</v>
      </c>
      <c r="F333" s="3">
        <f t="shared" si="30"/>
        <v>527</v>
      </c>
      <c r="G333" s="3">
        <v>771</v>
      </c>
      <c r="H333" s="3">
        <f t="shared" si="31"/>
        <v>-244</v>
      </c>
      <c r="I333" s="21">
        <f t="shared" si="32"/>
        <v>84.00486618004865</v>
      </c>
    </row>
    <row r="334" spans="1:9" ht="13.5">
      <c r="A334" s="1">
        <v>9</v>
      </c>
      <c r="B334" s="2" t="s">
        <v>330</v>
      </c>
      <c r="C334" s="3">
        <v>715</v>
      </c>
      <c r="D334" s="3">
        <v>0</v>
      </c>
      <c r="E334" s="3">
        <v>1</v>
      </c>
      <c r="F334" s="3">
        <f t="shared" si="30"/>
        <v>714</v>
      </c>
      <c r="G334" s="3">
        <v>714</v>
      </c>
      <c r="H334" s="3">
        <f t="shared" si="31"/>
        <v>0</v>
      </c>
      <c r="I334" s="21">
        <f t="shared" si="32"/>
        <v>0</v>
      </c>
    </row>
    <row r="335" spans="1:9" ht="13.5">
      <c r="A335" s="1">
        <v>10</v>
      </c>
      <c r="B335" s="2" t="s">
        <v>331</v>
      </c>
      <c r="C335" s="3">
        <v>1578</v>
      </c>
      <c r="D335" s="3">
        <v>8</v>
      </c>
      <c r="E335" s="3">
        <v>4</v>
      </c>
      <c r="F335" s="3">
        <f t="shared" si="30"/>
        <v>1566</v>
      </c>
      <c r="G335" s="3">
        <v>1646</v>
      </c>
      <c r="H335" s="3">
        <f t="shared" si="31"/>
        <v>-80</v>
      </c>
      <c r="I335" s="21">
        <f t="shared" si="32"/>
        <v>27.542579075425788</v>
      </c>
    </row>
    <row r="336" spans="1:9" ht="13.5">
      <c r="A336" s="1">
        <v>11</v>
      </c>
      <c r="B336" s="2" t="s">
        <v>332</v>
      </c>
      <c r="C336" s="3">
        <v>2510</v>
      </c>
      <c r="D336" s="3">
        <v>5</v>
      </c>
      <c r="E336" s="3">
        <v>7</v>
      </c>
      <c r="F336" s="3">
        <f t="shared" si="30"/>
        <v>2498</v>
      </c>
      <c r="G336" s="3">
        <v>2498</v>
      </c>
      <c r="H336" s="3">
        <f t="shared" si="31"/>
        <v>0</v>
      </c>
      <c r="I336" s="21">
        <f t="shared" si="32"/>
        <v>0</v>
      </c>
    </row>
    <row r="337" spans="1:9" ht="13.5">
      <c r="A337" s="1">
        <v>12</v>
      </c>
      <c r="B337" s="2" t="s">
        <v>333</v>
      </c>
      <c r="C337" s="3">
        <v>458</v>
      </c>
      <c r="D337" s="3">
        <v>0</v>
      </c>
      <c r="E337" s="3">
        <v>1</v>
      </c>
      <c r="F337" s="3">
        <f t="shared" si="30"/>
        <v>457</v>
      </c>
      <c r="G337" s="3">
        <v>507</v>
      </c>
      <c r="H337" s="3">
        <f t="shared" si="31"/>
        <v>-50</v>
      </c>
      <c r="I337" s="21">
        <f t="shared" si="32"/>
        <v>17.214111922141118</v>
      </c>
    </row>
    <row r="338" spans="1:9" ht="13.5">
      <c r="A338" s="1">
        <v>13</v>
      </c>
      <c r="B338" s="2" t="s">
        <v>334</v>
      </c>
      <c r="C338" s="3">
        <v>288</v>
      </c>
      <c r="D338" s="3">
        <v>0</v>
      </c>
      <c r="E338" s="3">
        <v>1</v>
      </c>
      <c r="F338" s="3">
        <f t="shared" si="30"/>
        <v>287</v>
      </c>
      <c r="G338" s="3">
        <v>287</v>
      </c>
      <c r="H338" s="3">
        <f t="shared" si="31"/>
        <v>0</v>
      </c>
      <c r="I338" s="21">
        <f t="shared" si="32"/>
        <v>0</v>
      </c>
    </row>
    <row r="339" spans="1:9" ht="13.5">
      <c r="A339" s="14" t="s">
        <v>471</v>
      </c>
      <c r="B339" s="15" t="s">
        <v>335</v>
      </c>
      <c r="C339" s="16">
        <f>SUM(C340:C346)</f>
        <v>14827</v>
      </c>
      <c r="D339" s="16">
        <f>SUM(D340:D346)</f>
        <v>41</v>
      </c>
      <c r="E339" s="16">
        <f>SUM(E340:E346)</f>
        <v>137</v>
      </c>
      <c r="F339" s="16">
        <f t="shared" si="30"/>
        <v>14649</v>
      </c>
      <c r="G339" s="16">
        <f>SUM(G340:G346)</f>
        <v>16130</v>
      </c>
      <c r="H339" s="16">
        <f t="shared" si="31"/>
        <v>-1481</v>
      </c>
      <c r="I339" s="23">
        <f>H339/-176206*60700</f>
        <v>510.1795625574611</v>
      </c>
    </row>
    <row r="340" spans="1:9" ht="13.5">
      <c r="A340" s="1">
        <v>1</v>
      </c>
      <c r="B340" s="2" t="s">
        <v>336</v>
      </c>
      <c r="C340" s="3">
        <v>3016</v>
      </c>
      <c r="D340" s="3">
        <v>2</v>
      </c>
      <c r="E340" s="3">
        <v>9</v>
      </c>
      <c r="F340" s="3">
        <f t="shared" si="30"/>
        <v>3005</v>
      </c>
      <c r="G340" s="3">
        <v>3173</v>
      </c>
      <c r="H340" s="3">
        <f t="shared" si="31"/>
        <v>-168</v>
      </c>
      <c r="I340" s="21">
        <f>H340/-1481*510</f>
        <v>57.85280216070223</v>
      </c>
    </row>
    <row r="341" spans="1:9" ht="13.5">
      <c r="A341" s="1">
        <v>2</v>
      </c>
      <c r="B341" s="2" t="s">
        <v>337</v>
      </c>
      <c r="C341" s="3">
        <v>6201</v>
      </c>
      <c r="D341" s="3">
        <v>19</v>
      </c>
      <c r="E341" s="3">
        <v>68</v>
      </c>
      <c r="F341" s="3">
        <f t="shared" si="30"/>
        <v>6114</v>
      </c>
      <c r="G341" s="3">
        <v>6114</v>
      </c>
      <c r="H341" s="3">
        <f t="shared" si="31"/>
        <v>0</v>
      </c>
      <c r="I341" s="21">
        <f aca="true" t="shared" si="33" ref="I341:I347">H341/-1481*510</f>
        <v>0</v>
      </c>
    </row>
    <row r="342" spans="1:9" ht="13.5">
      <c r="A342" s="1">
        <v>3</v>
      </c>
      <c r="B342" s="2" t="s">
        <v>338</v>
      </c>
      <c r="C342" s="3">
        <v>1884</v>
      </c>
      <c r="D342" s="3">
        <v>7</v>
      </c>
      <c r="E342" s="3">
        <v>17</v>
      </c>
      <c r="F342" s="3">
        <f t="shared" si="30"/>
        <v>1860</v>
      </c>
      <c r="G342" s="3">
        <v>3173</v>
      </c>
      <c r="H342" s="3">
        <f t="shared" si="31"/>
        <v>-1313</v>
      </c>
      <c r="I342" s="21">
        <f t="shared" si="33"/>
        <v>452.1471978392978</v>
      </c>
    </row>
    <row r="343" spans="1:9" ht="13.5">
      <c r="A343" s="1">
        <v>4</v>
      </c>
      <c r="B343" s="2" t="s">
        <v>339</v>
      </c>
      <c r="C343" s="3">
        <v>758</v>
      </c>
      <c r="D343" s="3">
        <v>2</v>
      </c>
      <c r="E343" s="3">
        <v>10</v>
      </c>
      <c r="F343" s="3">
        <f t="shared" si="30"/>
        <v>746</v>
      </c>
      <c r="G343" s="3">
        <v>746</v>
      </c>
      <c r="H343" s="3">
        <f t="shared" si="31"/>
        <v>0</v>
      </c>
      <c r="I343" s="21">
        <f t="shared" si="33"/>
        <v>0</v>
      </c>
    </row>
    <row r="344" spans="1:9" ht="13.5">
      <c r="A344" s="1">
        <v>5</v>
      </c>
      <c r="B344" s="2" t="s">
        <v>340</v>
      </c>
      <c r="C344" s="3">
        <v>2</v>
      </c>
      <c r="D344" s="3">
        <v>0</v>
      </c>
      <c r="E344" s="3">
        <v>0</v>
      </c>
      <c r="F344" s="3">
        <f t="shared" si="30"/>
        <v>2</v>
      </c>
      <c r="G344" s="3">
        <v>2</v>
      </c>
      <c r="H344" s="3">
        <f t="shared" si="31"/>
        <v>0</v>
      </c>
      <c r="I344" s="21">
        <f t="shared" si="33"/>
        <v>0</v>
      </c>
    </row>
    <row r="345" spans="1:9" ht="13.5">
      <c r="A345" s="1">
        <v>6</v>
      </c>
      <c r="B345" s="2" t="s">
        <v>341</v>
      </c>
      <c r="C345" s="3">
        <f>2233+23</f>
        <v>2256</v>
      </c>
      <c r="D345" s="3">
        <v>8</v>
      </c>
      <c r="E345" s="3">
        <v>26</v>
      </c>
      <c r="F345" s="3">
        <f t="shared" si="30"/>
        <v>2222</v>
      </c>
      <c r="G345" s="3">
        <v>2222</v>
      </c>
      <c r="H345" s="3">
        <f t="shared" si="31"/>
        <v>0</v>
      </c>
      <c r="I345" s="21">
        <f t="shared" si="33"/>
        <v>0</v>
      </c>
    </row>
    <row r="346" spans="1:9" ht="13.5">
      <c r="A346" s="1">
        <v>7</v>
      </c>
      <c r="B346" s="2" t="s">
        <v>342</v>
      </c>
      <c r="C346" s="3">
        <v>710</v>
      </c>
      <c r="D346" s="3">
        <v>3</v>
      </c>
      <c r="E346" s="3">
        <v>7</v>
      </c>
      <c r="F346" s="3">
        <f t="shared" si="30"/>
        <v>700</v>
      </c>
      <c r="G346" s="3">
        <v>700</v>
      </c>
      <c r="H346" s="3">
        <f t="shared" si="31"/>
        <v>0</v>
      </c>
      <c r="I346" s="21">
        <f t="shared" si="33"/>
        <v>0</v>
      </c>
    </row>
    <row r="347" spans="1:9" ht="13.5">
      <c r="A347" s="1">
        <v>8</v>
      </c>
      <c r="B347" s="2" t="s">
        <v>494</v>
      </c>
      <c r="C347" s="3">
        <v>0</v>
      </c>
      <c r="D347" s="3"/>
      <c r="E347" s="3"/>
      <c r="F347" s="3"/>
      <c r="G347" s="3"/>
      <c r="H347" s="3">
        <f t="shared" si="31"/>
        <v>0</v>
      </c>
      <c r="I347" s="21">
        <f t="shared" si="33"/>
        <v>0</v>
      </c>
    </row>
    <row r="348" spans="1:9" ht="13.5">
      <c r="A348" s="14" t="s">
        <v>472</v>
      </c>
      <c r="B348" s="15" t="s">
        <v>343</v>
      </c>
      <c r="C348" s="16">
        <f>SUM(C349:C357)</f>
        <v>15228</v>
      </c>
      <c r="D348" s="16">
        <f>SUM(D349:D357)</f>
        <v>33</v>
      </c>
      <c r="E348" s="16">
        <f>SUM(E349:E357)</f>
        <v>76</v>
      </c>
      <c r="F348" s="16">
        <f t="shared" si="30"/>
        <v>15119</v>
      </c>
      <c r="G348" s="16">
        <f>SUM(G349:G357)</f>
        <v>17302</v>
      </c>
      <c r="H348" s="16">
        <f t="shared" si="31"/>
        <v>-2183</v>
      </c>
      <c r="I348" s="23">
        <f>H348/-176206*60700</f>
        <v>752.0067421086683</v>
      </c>
    </row>
    <row r="349" spans="1:9" ht="13.5">
      <c r="A349" s="1">
        <v>1</v>
      </c>
      <c r="B349" s="2" t="s">
        <v>344</v>
      </c>
      <c r="C349" s="3">
        <v>2129</v>
      </c>
      <c r="D349" s="3">
        <v>1</v>
      </c>
      <c r="E349" s="3">
        <v>13</v>
      </c>
      <c r="F349" s="3">
        <f t="shared" si="30"/>
        <v>2115</v>
      </c>
      <c r="G349" s="3">
        <v>2511</v>
      </c>
      <c r="H349" s="3">
        <f t="shared" si="31"/>
        <v>-396</v>
      </c>
      <c r="I349" s="21">
        <f>H349/-2183*752</f>
        <v>136.41410902427853</v>
      </c>
    </row>
    <row r="350" spans="1:9" ht="13.5">
      <c r="A350" s="1">
        <v>2</v>
      </c>
      <c r="B350" s="2" t="s">
        <v>345</v>
      </c>
      <c r="C350" s="3">
        <v>2483</v>
      </c>
      <c r="D350" s="3">
        <v>6</v>
      </c>
      <c r="E350" s="3">
        <v>6</v>
      </c>
      <c r="F350" s="3">
        <f t="shared" si="30"/>
        <v>2471</v>
      </c>
      <c r="G350" s="3">
        <v>2471</v>
      </c>
      <c r="H350" s="3">
        <f t="shared" si="31"/>
        <v>0</v>
      </c>
      <c r="I350" s="21">
        <f aca="true" t="shared" si="34" ref="I350:I357">H350/-2183*752</f>
        <v>0</v>
      </c>
    </row>
    <row r="351" spans="1:9" ht="13.5">
      <c r="A351" s="1">
        <v>3</v>
      </c>
      <c r="B351" s="2" t="s">
        <v>346</v>
      </c>
      <c r="C351" s="3">
        <v>3065</v>
      </c>
      <c r="D351" s="3">
        <v>11</v>
      </c>
      <c r="E351" s="3">
        <v>19</v>
      </c>
      <c r="F351" s="3">
        <f t="shared" si="30"/>
        <v>3035</v>
      </c>
      <c r="G351" s="3">
        <v>4478</v>
      </c>
      <c r="H351" s="3">
        <f t="shared" si="31"/>
        <v>-1443</v>
      </c>
      <c r="I351" s="21">
        <f t="shared" si="34"/>
        <v>497.08474576271186</v>
      </c>
    </row>
    <row r="352" spans="1:9" ht="13.5">
      <c r="A352" s="1">
        <v>4</v>
      </c>
      <c r="B352" s="2" t="s">
        <v>347</v>
      </c>
      <c r="C352" s="3">
        <v>1089</v>
      </c>
      <c r="D352" s="3">
        <v>0</v>
      </c>
      <c r="E352" s="3">
        <v>3</v>
      </c>
      <c r="F352" s="3">
        <f t="shared" si="30"/>
        <v>1086</v>
      </c>
      <c r="G352" s="3">
        <v>1200</v>
      </c>
      <c r="H352" s="3">
        <f t="shared" si="31"/>
        <v>-114</v>
      </c>
      <c r="I352" s="21">
        <f t="shared" si="34"/>
        <v>39.27072835547412</v>
      </c>
    </row>
    <row r="353" spans="1:9" ht="13.5">
      <c r="A353" s="1">
        <v>5</v>
      </c>
      <c r="B353" s="2" t="s">
        <v>348</v>
      </c>
      <c r="C353" s="3">
        <v>1050</v>
      </c>
      <c r="D353" s="3">
        <v>4</v>
      </c>
      <c r="E353" s="3">
        <v>5</v>
      </c>
      <c r="F353" s="3">
        <f t="shared" si="30"/>
        <v>1041</v>
      </c>
      <c r="G353" s="3">
        <v>1041</v>
      </c>
      <c r="H353" s="3">
        <f t="shared" si="31"/>
        <v>0</v>
      </c>
      <c r="I353" s="21">
        <f t="shared" si="34"/>
        <v>0</v>
      </c>
    </row>
    <row r="354" spans="1:9" ht="13.5">
      <c r="A354" s="1">
        <v>6</v>
      </c>
      <c r="B354" s="2" t="s">
        <v>349</v>
      </c>
      <c r="C354" s="3">
        <v>1392</v>
      </c>
      <c r="D354" s="3">
        <v>6</v>
      </c>
      <c r="E354" s="3">
        <v>10</v>
      </c>
      <c r="F354" s="3">
        <f t="shared" si="30"/>
        <v>1376</v>
      </c>
      <c r="G354" s="3">
        <v>1376</v>
      </c>
      <c r="H354" s="3">
        <f t="shared" si="31"/>
        <v>0</v>
      </c>
      <c r="I354" s="21">
        <f t="shared" si="34"/>
        <v>0</v>
      </c>
    </row>
    <row r="355" spans="1:9" ht="13.5">
      <c r="A355" s="1">
        <v>7</v>
      </c>
      <c r="B355" s="2" t="s">
        <v>350</v>
      </c>
      <c r="C355" s="3">
        <v>1031</v>
      </c>
      <c r="D355" s="3">
        <v>1</v>
      </c>
      <c r="E355" s="3">
        <v>3</v>
      </c>
      <c r="F355" s="3">
        <f t="shared" si="30"/>
        <v>1027</v>
      </c>
      <c r="G355" s="3">
        <v>1257</v>
      </c>
      <c r="H355" s="3">
        <f t="shared" si="31"/>
        <v>-230</v>
      </c>
      <c r="I355" s="21">
        <f t="shared" si="34"/>
        <v>79.2304168575355</v>
      </c>
    </row>
    <row r="356" spans="1:9" ht="13.5">
      <c r="A356" s="1">
        <v>8</v>
      </c>
      <c r="B356" s="2" t="s">
        <v>351</v>
      </c>
      <c r="C356" s="3">
        <v>1439</v>
      </c>
      <c r="D356" s="3">
        <v>2</v>
      </c>
      <c r="E356" s="3">
        <v>5</v>
      </c>
      <c r="F356" s="3">
        <f t="shared" si="30"/>
        <v>1432</v>
      </c>
      <c r="G356" s="3">
        <v>1432</v>
      </c>
      <c r="H356" s="3">
        <f t="shared" si="31"/>
        <v>0</v>
      </c>
      <c r="I356" s="21">
        <f t="shared" si="34"/>
        <v>0</v>
      </c>
    </row>
    <row r="357" spans="1:9" ht="13.5">
      <c r="A357" s="1">
        <v>9</v>
      </c>
      <c r="B357" s="2" t="s">
        <v>352</v>
      </c>
      <c r="C357" s="3">
        <v>1550</v>
      </c>
      <c r="D357" s="3">
        <v>2</v>
      </c>
      <c r="E357" s="3">
        <v>12</v>
      </c>
      <c r="F357" s="3">
        <f t="shared" si="30"/>
        <v>1536</v>
      </c>
      <c r="G357" s="3">
        <v>1536</v>
      </c>
      <c r="H357" s="3">
        <f t="shared" si="31"/>
        <v>0</v>
      </c>
      <c r="I357" s="21">
        <f t="shared" si="34"/>
        <v>0</v>
      </c>
    </row>
    <row r="358" spans="1:9" ht="13.5">
      <c r="A358" s="14" t="s">
        <v>473</v>
      </c>
      <c r="B358" s="15" t="s">
        <v>353</v>
      </c>
      <c r="C358" s="16">
        <f>SUM(C359:C386)</f>
        <v>47911</v>
      </c>
      <c r="D358" s="16">
        <f>SUM(D359:D386)</f>
        <v>159</v>
      </c>
      <c r="E358" s="16">
        <f>SUM(E359:E386)</f>
        <v>616</v>
      </c>
      <c r="F358" s="16">
        <f t="shared" si="30"/>
        <v>47136</v>
      </c>
      <c r="G358" s="16">
        <f>SUM(G359:G386)</f>
        <v>53691</v>
      </c>
      <c r="H358" s="16">
        <f aca="true" t="shared" si="35" ref="H358:H389">F358-G358</f>
        <v>-6555</v>
      </c>
      <c r="I358" s="23">
        <f>H358/-176206*60700</f>
        <v>2258.087125296528</v>
      </c>
    </row>
    <row r="359" spans="1:9" ht="13.5">
      <c r="A359" s="1">
        <v>1</v>
      </c>
      <c r="B359" s="2" t="s">
        <v>354</v>
      </c>
      <c r="C359" s="3">
        <v>922</v>
      </c>
      <c r="D359" s="3">
        <v>8</v>
      </c>
      <c r="E359" s="3">
        <v>16</v>
      </c>
      <c r="F359" s="3">
        <f t="shared" si="30"/>
        <v>898</v>
      </c>
      <c r="G359" s="3">
        <v>983</v>
      </c>
      <c r="H359" s="3">
        <f t="shared" si="35"/>
        <v>-85</v>
      </c>
      <c r="I359" s="21">
        <f>H359/6555*-2258</f>
        <v>29.279938977879482</v>
      </c>
    </row>
    <row r="360" spans="1:9" ht="13.5">
      <c r="A360" s="1">
        <v>2</v>
      </c>
      <c r="B360" s="2" t="s">
        <v>355</v>
      </c>
      <c r="C360" s="3">
        <v>2729</v>
      </c>
      <c r="D360" s="3">
        <v>7</v>
      </c>
      <c r="E360" s="3">
        <v>24</v>
      </c>
      <c r="F360" s="3">
        <f t="shared" si="30"/>
        <v>2698</v>
      </c>
      <c r="G360" s="3">
        <v>2698</v>
      </c>
      <c r="H360" s="3">
        <f t="shared" si="35"/>
        <v>0</v>
      </c>
      <c r="I360" s="21">
        <f aca="true" t="shared" si="36" ref="I360:I386">H360/6555*-2258</f>
        <v>0</v>
      </c>
    </row>
    <row r="361" spans="1:9" ht="13.5">
      <c r="A361" s="1">
        <v>3</v>
      </c>
      <c r="B361" s="2" t="s">
        <v>356</v>
      </c>
      <c r="C361" s="3">
        <v>880</v>
      </c>
      <c r="D361" s="3">
        <v>3</v>
      </c>
      <c r="E361" s="3">
        <v>7</v>
      </c>
      <c r="F361" s="3">
        <f t="shared" si="30"/>
        <v>870</v>
      </c>
      <c r="G361" s="3">
        <v>1031</v>
      </c>
      <c r="H361" s="3">
        <f t="shared" si="35"/>
        <v>-161</v>
      </c>
      <c r="I361" s="21">
        <f t="shared" si="36"/>
        <v>55.459649122807015</v>
      </c>
    </row>
    <row r="362" spans="1:9" ht="13.5">
      <c r="A362" s="1">
        <v>4</v>
      </c>
      <c r="B362" s="2" t="s">
        <v>357</v>
      </c>
      <c r="C362" s="3">
        <v>1751</v>
      </c>
      <c r="D362" s="3">
        <v>2</v>
      </c>
      <c r="E362" s="3">
        <v>24</v>
      </c>
      <c r="F362" s="3">
        <f t="shared" si="30"/>
        <v>1725</v>
      </c>
      <c r="G362" s="3">
        <v>1883</v>
      </c>
      <c r="H362" s="3">
        <f t="shared" si="35"/>
        <v>-158</v>
      </c>
      <c r="I362" s="21">
        <f t="shared" si="36"/>
        <v>54.426239511823034</v>
      </c>
    </row>
    <row r="363" spans="1:9" ht="13.5">
      <c r="A363" s="1">
        <v>5</v>
      </c>
      <c r="B363" s="2" t="s">
        <v>358</v>
      </c>
      <c r="C363" s="3">
        <v>1661</v>
      </c>
      <c r="D363" s="3">
        <v>3</v>
      </c>
      <c r="E363" s="3">
        <v>7</v>
      </c>
      <c r="F363" s="3">
        <f t="shared" si="30"/>
        <v>1651</v>
      </c>
      <c r="G363" s="3">
        <v>1651</v>
      </c>
      <c r="H363" s="3">
        <f t="shared" si="35"/>
        <v>0</v>
      </c>
      <c r="I363" s="21">
        <f t="shared" si="36"/>
        <v>0</v>
      </c>
    </row>
    <row r="364" spans="1:9" ht="13.5">
      <c r="A364" s="1">
        <v>6</v>
      </c>
      <c r="B364" s="2" t="s">
        <v>359</v>
      </c>
      <c r="C364" s="3">
        <v>2704</v>
      </c>
      <c r="D364" s="3">
        <v>7</v>
      </c>
      <c r="E364" s="3">
        <v>18</v>
      </c>
      <c r="F364" s="3">
        <f t="shared" si="30"/>
        <v>2679</v>
      </c>
      <c r="G364" s="3">
        <v>2917</v>
      </c>
      <c r="H364" s="3">
        <f t="shared" si="35"/>
        <v>-238</v>
      </c>
      <c r="I364" s="21">
        <f t="shared" si="36"/>
        <v>81.98382913806255</v>
      </c>
    </row>
    <row r="365" spans="1:9" ht="13.5">
      <c r="A365" s="1">
        <v>7</v>
      </c>
      <c r="B365" s="2" t="s">
        <v>360</v>
      </c>
      <c r="C365" s="3">
        <v>1754</v>
      </c>
      <c r="D365" s="3">
        <v>1</v>
      </c>
      <c r="E365" s="3">
        <v>6</v>
      </c>
      <c r="F365" s="3">
        <f t="shared" si="30"/>
        <v>1747</v>
      </c>
      <c r="G365" s="3">
        <v>1747</v>
      </c>
      <c r="H365" s="3">
        <f t="shared" si="35"/>
        <v>0</v>
      </c>
      <c r="I365" s="21">
        <f t="shared" si="36"/>
        <v>0</v>
      </c>
    </row>
    <row r="366" spans="1:9" ht="13.5">
      <c r="A366" s="1">
        <v>8</v>
      </c>
      <c r="B366" s="2" t="s">
        <v>361</v>
      </c>
      <c r="C366" s="3">
        <v>1658</v>
      </c>
      <c r="D366" s="3">
        <v>6</v>
      </c>
      <c r="E366" s="3">
        <v>11</v>
      </c>
      <c r="F366" s="3">
        <f t="shared" si="30"/>
        <v>1641</v>
      </c>
      <c r="G366" s="3">
        <v>1703</v>
      </c>
      <c r="H366" s="3">
        <f t="shared" si="35"/>
        <v>-62</v>
      </c>
      <c r="I366" s="21">
        <f t="shared" si="36"/>
        <v>21.35713196033562</v>
      </c>
    </row>
    <row r="367" spans="1:9" ht="13.5">
      <c r="A367" s="1">
        <v>9</v>
      </c>
      <c r="B367" s="2" t="s">
        <v>362</v>
      </c>
      <c r="C367" s="3">
        <v>2074</v>
      </c>
      <c r="D367" s="3">
        <v>4</v>
      </c>
      <c r="E367" s="3">
        <v>15</v>
      </c>
      <c r="F367" s="3">
        <f t="shared" si="30"/>
        <v>2055</v>
      </c>
      <c r="G367" s="3">
        <v>2182</v>
      </c>
      <c r="H367" s="3">
        <f t="shared" si="35"/>
        <v>-127</v>
      </c>
      <c r="I367" s="21">
        <f t="shared" si="36"/>
        <v>43.747673531655224</v>
      </c>
    </row>
    <row r="368" spans="1:9" ht="13.5">
      <c r="A368" s="1">
        <v>10</v>
      </c>
      <c r="B368" s="2" t="s">
        <v>363</v>
      </c>
      <c r="C368" s="3">
        <v>1483</v>
      </c>
      <c r="D368" s="3">
        <v>3</v>
      </c>
      <c r="E368" s="3">
        <v>10</v>
      </c>
      <c r="F368" s="3">
        <f t="shared" si="30"/>
        <v>1470</v>
      </c>
      <c r="G368" s="3">
        <v>1470</v>
      </c>
      <c r="H368" s="3">
        <f t="shared" si="35"/>
        <v>0</v>
      </c>
      <c r="I368" s="21">
        <f t="shared" si="36"/>
        <v>0</v>
      </c>
    </row>
    <row r="369" spans="1:9" ht="13.5">
      <c r="A369" s="1">
        <v>11</v>
      </c>
      <c r="B369" s="2" t="s">
        <v>364</v>
      </c>
      <c r="C369" s="3">
        <v>4515</v>
      </c>
      <c r="D369" s="3">
        <v>13</v>
      </c>
      <c r="E369" s="3">
        <v>38</v>
      </c>
      <c r="F369" s="3">
        <f t="shared" si="30"/>
        <v>4464</v>
      </c>
      <c r="G369" s="3">
        <v>4464</v>
      </c>
      <c r="H369" s="3">
        <f t="shared" si="35"/>
        <v>0</v>
      </c>
      <c r="I369" s="21">
        <f t="shared" si="36"/>
        <v>0</v>
      </c>
    </row>
    <row r="370" spans="1:9" ht="13.5">
      <c r="A370" s="1">
        <v>12</v>
      </c>
      <c r="B370" s="2" t="s">
        <v>365</v>
      </c>
      <c r="C370" s="3">
        <v>1958</v>
      </c>
      <c r="D370" s="3">
        <v>6</v>
      </c>
      <c r="E370" s="3">
        <v>25</v>
      </c>
      <c r="F370" s="3">
        <f t="shared" si="30"/>
        <v>1927</v>
      </c>
      <c r="G370" s="3">
        <v>2149</v>
      </c>
      <c r="H370" s="3">
        <f t="shared" si="35"/>
        <v>-222</v>
      </c>
      <c r="I370" s="21">
        <f t="shared" si="36"/>
        <v>76.47231121281465</v>
      </c>
    </row>
    <row r="371" spans="1:9" ht="13.5">
      <c r="A371" s="1">
        <v>13</v>
      </c>
      <c r="B371" s="2" t="s">
        <v>366</v>
      </c>
      <c r="C371" s="3">
        <v>2589</v>
      </c>
      <c r="D371" s="3">
        <v>3</v>
      </c>
      <c r="E371" s="3">
        <v>46</v>
      </c>
      <c r="F371" s="3">
        <f t="shared" si="30"/>
        <v>2540</v>
      </c>
      <c r="G371" s="3">
        <v>2727</v>
      </c>
      <c r="H371" s="3">
        <f t="shared" si="35"/>
        <v>-187</v>
      </c>
      <c r="I371" s="21">
        <f t="shared" si="36"/>
        <v>64.41586575133486</v>
      </c>
    </row>
    <row r="372" spans="1:9" ht="13.5">
      <c r="A372" s="1">
        <v>14</v>
      </c>
      <c r="B372" s="2" t="s">
        <v>367</v>
      </c>
      <c r="C372" s="3">
        <v>1502</v>
      </c>
      <c r="D372" s="3">
        <v>1</v>
      </c>
      <c r="E372" s="3">
        <v>17</v>
      </c>
      <c r="F372" s="3">
        <f t="shared" si="30"/>
        <v>1484</v>
      </c>
      <c r="G372" s="3">
        <v>1640</v>
      </c>
      <c r="H372" s="3">
        <f t="shared" si="35"/>
        <v>-156</v>
      </c>
      <c r="I372" s="21">
        <f t="shared" si="36"/>
        <v>53.737299771167045</v>
      </c>
    </row>
    <row r="373" spans="1:9" ht="13.5">
      <c r="A373" s="1">
        <v>15</v>
      </c>
      <c r="B373" s="2" t="s">
        <v>368</v>
      </c>
      <c r="C373" s="3">
        <v>1365</v>
      </c>
      <c r="D373" s="3">
        <v>8</v>
      </c>
      <c r="E373" s="3">
        <v>20</v>
      </c>
      <c r="F373" s="3">
        <f t="shared" si="30"/>
        <v>1337</v>
      </c>
      <c r="G373" s="3">
        <v>1839</v>
      </c>
      <c r="H373" s="3">
        <f t="shared" si="35"/>
        <v>-502</v>
      </c>
      <c r="I373" s="21">
        <f t="shared" si="36"/>
        <v>172.92387490465293</v>
      </c>
    </row>
    <row r="374" spans="1:9" ht="13.5">
      <c r="A374" s="1">
        <v>16</v>
      </c>
      <c r="B374" s="2" t="s">
        <v>369</v>
      </c>
      <c r="C374" s="3">
        <v>1176</v>
      </c>
      <c r="D374" s="3">
        <v>1</v>
      </c>
      <c r="E374" s="3">
        <v>21</v>
      </c>
      <c r="F374" s="3">
        <f t="shared" si="30"/>
        <v>1154</v>
      </c>
      <c r="G374" s="3">
        <v>1394</v>
      </c>
      <c r="H374" s="3">
        <f t="shared" si="35"/>
        <v>-240</v>
      </c>
      <c r="I374" s="21">
        <f t="shared" si="36"/>
        <v>82.67276887871853</v>
      </c>
    </row>
    <row r="375" spans="1:9" ht="13.5">
      <c r="A375" s="1">
        <v>17</v>
      </c>
      <c r="B375" s="2" t="s">
        <v>370</v>
      </c>
      <c r="C375" s="3">
        <v>1561</v>
      </c>
      <c r="D375" s="3">
        <v>5</v>
      </c>
      <c r="E375" s="3">
        <v>25</v>
      </c>
      <c r="F375" s="3">
        <f t="shared" si="30"/>
        <v>1531</v>
      </c>
      <c r="G375" s="3">
        <v>2212</v>
      </c>
      <c r="H375" s="3">
        <f t="shared" si="35"/>
        <v>-681</v>
      </c>
      <c r="I375" s="21">
        <f t="shared" si="36"/>
        <v>234.58398169336385</v>
      </c>
    </row>
    <row r="376" spans="1:9" ht="13.5">
      <c r="A376" s="1">
        <v>18</v>
      </c>
      <c r="B376" s="2" t="s">
        <v>371</v>
      </c>
      <c r="C376" s="3">
        <v>2567</v>
      </c>
      <c r="D376" s="3">
        <v>16</v>
      </c>
      <c r="E376" s="3">
        <v>65</v>
      </c>
      <c r="F376" s="3">
        <f t="shared" si="30"/>
        <v>2486</v>
      </c>
      <c r="G376" s="3">
        <v>2486</v>
      </c>
      <c r="H376" s="3">
        <f t="shared" si="35"/>
        <v>0</v>
      </c>
      <c r="I376" s="21">
        <f t="shared" si="36"/>
        <v>0</v>
      </c>
    </row>
    <row r="377" spans="1:9" ht="13.5">
      <c r="A377" s="1">
        <v>19</v>
      </c>
      <c r="B377" s="2" t="s">
        <v>372</v>
      </c>
      <c r="C377" s="3">
        <v>2248</v>
      </c>
      <c r="D377" s="3">
        <v>4</v>
      </c>
      <c r="E377" s="3">
        <v>19</v>
      </c>
      <c r="F377" s="3">
        <f t="shared" si="30"/>
        <v>2225</v>
      </c>
      <c r="G377" s="3">
        <v>2830</v>
      </c>
      <c r="H377" s="3">
        <f t="shared" si="35"/>
        <v>-605</v>
      </c>
      <c r="I377" s="21">
        <f t="shared" si="36"/>
        <v>208.4042715484363</v>
      </c>
    </row>
    <row r="378" spans="1:9" ht="13.5">
      <c r="A378" s="1">
        <v>20</v>
      </c>
      <c r="B378" s="2" t="s">
        <v>373</v>
      </c>
      <c r="C378" s="3">
        <v>1221</v>
      </c>
      <c r="D378" s="3">
        <v>2</v>
      </c>
      <c r="E378" s="3">
        <v>15</v>
      </c>
      <c r="F378" s="3">
        <f t="shared" si="30"/>
        <v>1204</v>
      </c>
      <c r="G378" s="3">
        <v>3286</v>
      </c>
      <c r="H378" s="3">
        <f t="shared" si="35"/>
        <v>-2082</v>
      </c>
      <c r="I378" s="21">
        <f t="shared" si="36"/>
        <v>717.1862700228833</v>
      </c>
    </row>
    <row r="379" spans="1:9" ht="13.5">
      <c r="A379" s="1">
        <v>21</v>
      </c>
      <c r="B379" s="2" t="s">
        <v>374</v>
      </c>
      <c r="C379" s="3">
        <v>1875</v>
      </c>
      <c r="D379" s="3">
        <v>2</v>
      </c>
      <c r="E379" s="3">
        <v>8</v>
      </c>
      <c r="F379" s="3">
        <f t="shared" si="30"/>
        <v>1865</v>
      </c>
      <c r="G379" s="3">
        <v>1865</v>
      </c>
      <c r="H379" s="3">
        <f t="shared" si="35"/>
        <v>0</v>
      </c>
      <c r="I379" s="21">
        <f t="shared" si="36"/>
        <v>0</v>
      </c>
    </row>
    <row r="380" spans="1:9" ht="13.5">
      <c r="A380" s="1">
        <v>22</v>
      </c>
      <c r="B380" s="2" t="s">
        <v>375</v>
      </c>
      <c r="C380" s="3">
        <v>1865</v>
      </c>
      <c r="D380" s="3">
        <v>4</v>
      </c>
      <c r="E380" s="3">
        <v>26</v>
      </c>
      <c r="F380" s="3">
        <f t="shared" si="30"/>
        <v>1835</v>
      </c>
      <c r="G380" s="3">
        <v>1835</v>
      </c>
      <c r="H380" s="3">
        <f t="shared" si="35"/>
        <v>0</v>
      </c>
      <c r="I380" s="21">
        <f t="shared" si="36"/>
        <v>0</v>
      </c>
    </row>
    <row r="381" spans="1:9" ht="13.5">
      <c r="A381" s="1">
        <v>23</v>
      </c>
      <c r="B381" s="2" t="s">
        <v>376</v>
      </c>
      <c r="C381" s="3">
        <v>548</v>
      </c>
      <c r="D381" s="3">
        <v>8</v>
      </c>
      <c r="E381" s="3">
        <v>23</v>
      </c>
      <c r="F381" s="3">
        <f t="shared" si="30"/>
        <v>517</v>
      </c>
      <c r="G381" s="3">
        <v>517</v>
      </c>
      <c r="H381" s="3">
        <f t="shared" si="35"/>
        <v>0</v>
      </c>
      <c r="I381" s="21">
        <f t="shared" si="36"/>
        <v>0</v>
      </c>
    </row>
    <row r="382" spans="1:9" ht="13.5">
      <c r="A382" s="1">
        <v>24</v>
      </c>
      <c r="B382" s="2" t="s">
        <v>377</v>
      </c>
      <c r="C382" s="3">
        <v>100</v>
      </c>
      <c r="D382" s="3">
        <v>0</v>
      </c>
      <c r="E382" s="3">
        <v>0</v>
      </c>
      <c r="F382" s="3">
        <f t="shared" si="30"/>
        <v>100</v>
      </c>
      <c r="G382" s="3">
        <v>100</v>
      </c>
      <c r="H382" s="3">
        <f t="shared" si="35"/>
        <v>0</v>
      </c>
      <c r="I382" s="21">
        <f t="shared" si="36"/>
        <v>0</v>
      </c>
    </row>
    <row r="383" spans="1:9" ht="13.5">
      <c r="A383" s="1">
        <v>25</v>
      </c>
      <c r="B383" s="2" t="s">
        <v>378</v>
      </c>
      <c r="C383" s="3">
        <v>2</v>
      </c>
      <c r="D383" s="3">
        <v>0</v>
      </c>
      <c r="E383" s="3">
        <v>0</v>
      </c>
      <c r="F383" s="3">
        <f aca="true" t="shared" si="37" ref="F383:F444">C383-E383-D383</f>
        <v>2</v>
      </c>
      <c r="G383" s="3">
        <v>2</v>
      </c>
      <c r="H383" s="3">
        <f t="shared" si="35"/>
        <v>0</v>
      </c>
      <c r="I383" s="21">
        <f t="shared" si="36"/>
        <v>0</v>
      </c>
    </row>
    <row r="384" spans="1:9" ht="13.5">
      <c r="A384" s="1">
        <v>26</v>
      </c>
      <c r="B384" s="2" t="s">
        <v>379</v>
      </c>
      <c r="C384" s="3">
        <f>3711+67</f>
        <v>3778</v>
      </c>
      <c r="D384" s="3">
        <v>39</v>
      </c>
      <c r="E384" s="3">
        <v>109</v>
      </c>
      <c r="F384" s="3">
        <f t="shared" si="37"/>
        <v>3630</v>
      </c>
      <c r="G384" s="3">
        <v>4679</v>
      </c>
      <c r="H384" s="3">
        <f t="shared" si="35"/>
        <v>-1049</v>
      </c>
      <c r="I384" s="21">
        <f t="shared" si="36"/>
        <v>361.34889397406556</v>
      </c>
    </row>
    <row r="385" spans="1:9" ht="13.5">
      <c r="A385" s="1">
        <v>27</v>
      </c>
      <c r="B385" s="2" t="s">
        <v>380</v>
      </c>
      <c r="C385" s="3">
        <v>753</v>
      </c>
      <c r="D385" s="3">
        <v>2</v>
      </c>
      <c r="E385" s="3">
        <v>14</v>
      </c>
      <c r="F385" s="3">
        <f t="shared" si="37"/>
        <v>737</v>
      </c>
      <c r="G385" s="3">
        <v>737</v>
      </c>
      <c r="H385" s="3">
        <f t="shared" si="35"/>
        <v>0</v>
      </c>
      <c r="I385" s="21">
        <f t="shared" si="36"/>
        <v>0</v>
      </c>
    </row>
    <row r="386" spans="1:9" ht="13.5">
      <c r="A386" s="1">
        <v>28</v>
      </c>
      <c r="B386" s="2" t="s">
        <v>381</v>
      </c>
      <c r="C386" s="3">
        <v>672</v>
      </c>
      <c r="D386" s="3">
        <v>1</v>
      </c>
      <c r="E386" s="3">
        <v>7</v>
      </c>
      <c r="F386" s="3">
        <f t="shared" si="37"/>
        <v>664</v>
      </c>
      <c r="G386" s="3">
        <v>664</v>
      </c>
      <c r="H386" s="3">
        <f t="shared" si="35"/>
        <v>0</v>
      </c>
      <c r="I386" s="21">
        <f t="shared" si="36"/>
        <v>0</v>
      </c>
    </row>
    <row r="387" spans="1:9" ht="13.5">
      <c r="A387" s="14" t="s">
        <v>474</v>
      </c>
      <c r="B387" s="15" t="s">
        <v>382</v>
      </c>
      <c r="C387" s="16">
        <f>SUM(C388:C393)</f>
        <v>12960</v>
      </c>
      <c r="D387" s="16">
        <f>SUM(D388:D393)</f>
        <v>17</v>
      </c>
      <c r="E387" s="16">
        <f>SUM(E388:E393)</f>
        <v>84</v>
      </c>
      <c r="F387" s="16">
        <f t="shared" si="37"/>
        <v>12859</v>
      </c>
      <c r="G387" s="16">
        <f>SUM(G388:G393)</f>
        <v>13858</v>
      </c>
      <c r="H387" s="16">
        <f t="shared" si="35"/>
        <v>-999</v>
      </c>
      <c r="I387" s="23">
        <f>H387/-176206*60700</f>
        <v>344.13867859210245</v>
      </c>
    </row>
    <row r="388" spans="1:9" ht="13.5">
      <c r="A388" s="1">
        <v>1</v>
      </c>
      <c r="B388" s="2" t="s">
        <v>383</v>
      </c>
      <c r="C388" s="3">
        <v>2792</v>
      </c>
      <c r="D388" s="3">
        <v>2</v>
      </c>
      <c r="E388" s="3">
        <v>9</v>
      </c>
      <c r="F388" s="3">
        <f t="shared" si="37"/>
        <v>2781</v>
      </c>
      <c r="G388" s="3">
        <v>3008</v>
      </c>
      <c r="H388" s="3">
        <f t="shared" si="35"/>
        <v>-227</v>
      </c>
      <c r="I388" s="21">
        <f>H388/999*-344</f>
        <v>78.16616616616616</v>
      </c>
    </row>
    <row r="389" spans="1:9" ht="13.5">
      <c r="A389" s="1">
        <v>2</v>
      </c>
      <c r="B389" s="2" t="s">
        <v>384</v>
      </c>
      <c r="C389" s="3">
        <v>2499</v>
      </c>
      <c r="D389" s="3">
        <v>3</v>
      </c>
      <c r="E389" s="3">
        <v>15</v>
      </c>
      <c r="F389" s="3">
        <f t="shared" si="37"/>
        <v>2481</v>
      </c>
      <c r="G389" s="3">
        <v>2566</v>
      </c>
      <c r="H389" s="3">
        <f t="shared" si="35"/>
        <v>-85</v>
      </c>
      <c r="I389" s="21">
        <f>H389/999*-344</f>
        <v>29.26926926926927</v>
      </c>
    </row>
    <row r="390" spans="1:9" ht="13.5">
      <c r="A390" s="1">
        <v>3</v>
      </c>
      <c r="B390" s="2" t="s">
        <v>385</v>
      </c>
      <c r="C390" s="3">
        <v>3592</v>
      </c>
      <c r="D390" s="3">
        <v>5</v>
      </c>
      <c r="E390" s="3">
        <v>29</v>
      </c>
      <c r="F390" s="3">
        <f t="shared" si="37"/>
        <v>3558</v>
      </c>
      <c r="G390" s="3">
        <v>4172</v>
      </c>
      <c r="H390" s="3">
        <f aca="true" t="shared" si="38" ref="H390:H436">F390-G390</f>
        <v>-614</v>
      </c>
      <c r="I390" s="21">
        <v>212</v>
      </c>
    </row>
    <row r="391" spans="1:9" ht="13.5">
      <c r="A391" s="1">
        <v>4</v>
      </c>
      <c r="B391" s="2" t="s">
        <v>386</v>
      </c>
      <c r="C391" s="3">
        <v>1991</v>
      </c>
      <c r="D391" s="3">
        <v>1</v>
      </c>
      <c r="E391" s="3">
        <v>19</v>
      </c>
      <c r="F391" s="3">
        <f t="shared" si="37"/>
        <v>1971</v>
      </c>
      <c r="G391" s="3">
        <v>1971</v>
      </c>
      <c r="H391" s="3">
        <f t="shared" si="38"/>
        <v>0</v>
      </c>
      <c r="I391" s="21">
        <f>H391/999*-344</f>
        <v>0</v>
      </c>
    </row>
    <row r="392" spans="1:9" ht="13.5">
      <c r="A392" s="1">
        <v>5</v>
      </c>
      <c r="B392" s="2" t="s">
        <v>387</v>
      </c>
      <c r="C392" s="3">
        <v>1260</v>
      </c>
      <c r="D392" s="3">
        <v>4</v>
      </c>
      <c r="E392" s="3">
        <v>4</v>
      </c>
      <c r="F392" s="3">
        <f t="shared" si="37"/>
        <v>1252</v>
      </c>
      <c r="G392" s="3">
        <v>1325</v>
      </c>
      <c r="H392" s="3">
        <f t="shared" si="38"/>
        <v>-73</v>
      </c>
      <c r="I392" s="21">
        <f>H392/999*-344</f>
        <v>25.137137137137138</v>
      </c>
    </row>
    <row r="393" spans="1:9" ht="13.5">
      <c r="A393" s="1">
        <v>6</v>
      </c>
      <c r="B393" s="2" t="s">
        <v>388</v>
      </c>
      <c r="C393" s="3">
        <v>826</v>
      </c>
      <c r="D393" s="3">
        <v>2</v>
      </c>
      <c r="E393" s="3">
        <v>8</v>
      </c>
      <c r="F393" s="3">
        <f t="shared" si="37"/>
        <v>816</v>
      </c>
      <c r="G393" s="3">
        <v>816</v>
      </c>
      <c r="H393" s="3">
        <f t="shared" si="38"/>
        <v>0</v>
      </c>
      <c r="I393" s="21">
        <f>H393/999*-377</f>
        <v>0</v>
      </c>
    </row>
    <row r="394" spans="1:9" ht="13.5">
      <c r="A394" s="14" t="s">
        <v>475</v>
      </c>
      <c r="B394" s="15" t="s">
        <v>389</v>
      </c>
      <c r="C394" s="16">
        <f>SUM(C395:C399)</f>
        <v>5195</v>
      </c>
      <c r="D394" s="16">
        <f>SUM(D395:D399)</f>
        <v>16</v>
      </c>
      <c r="E394" s="16">
        <f>SUM(E395:E399)</f>
        <v>29</v>
      </c>
      <c r="F394" s="16">
        <f t="shared" si="37"/>
        <v>5150</v>
      </c>
      <c r="G394" s="16">
        <f>SUM(G395:G399)</f>
        <v>7073</v>
      </c>
      <c r="H394" s="16">
        <f t="shared" si="38"/>
        <v>-1923</v>
      </c>
      <c r="I394" s="23">
        <f>H394/-176206*60700</f>
        <v>662.4411200526656</v>
      </c>
    </row>
    <row r="395" spans="1:9" ht="13.5">
      <c r="A395" s="1">
        <v>1</v>
      </c>
      <c r="B395" s="2" t="s">
        <v>390</v>
      </c>
      <c r="C395" s="3">
        <v>488</v>
      </c>
      <c r="D395" s="3">
        <v>0</v>
      </c>
      <c r="E395" s="3">
        <v>3</v>
      </c>
      <c r="F395" s="3">
        <f t="shared" si="37"/>
        <v>485</v>
      </c>
      <c r="G395" s="3">
        <v>1061</v>
      </c>
      <c r="H395" s="3">
        <f t="shared" si="38"/>
        <v>-576</v>
      </c>
      <c r="I395" s="21">
        <f>H395/1923*-662</f>
        <v>198.29017160686428</v>
      </c>
    </row>
    <row r="396" spans="1:9" ht="13.5">
      <c r="A396" s="1">
        <v>2</v>
      </c>
      <c r="B396" s="2" t="s">
        <v>391</v>
      </c>
      <c r="C396" s="3">
        <v>2401</v>
      </c>
      <c r="D396" s="3">
        <v>8</v>
      </c>
      <c r="E396" s="3">
        <v>13</v>
      </c>
      <c r="F396" s="3">
        <f t="shared" si="37"/>
        <v>2380</v>
      </c>
      <c r="G396" s="3">
        <v>3591</v>
      </c>
      <c r="H396" s="3">
        <f t="shared" si="38"/>
        <v>-1211</v>
      </c>
      <c r="I396" s="21">
        <f>H396/1923*-662</f>
        <v>416.89131565262613</v>
      </c>
    </row>
    <row r="397" spans="1:9" ht="13.5">
      <c r="A397" s="1">
        <v>3</v>
      </c>
      <c r="B397" s="2" t="s">
        <v>392</v>
      </c>
      <c r="C397" s="3">
        <v>367</v>
      </c>
      <c r="D397" s="3">
        <v>0</v>
      </c>
      <c r="E397" s="3">
        <v>1</v>
      </c>
      <c r="F397" s="3">
        <f t="shared" si="37"/>
        <v>366</v>
      </c>
      <c r="G397" s="3">
        <v>366</v>
      </c>
      <c r="H397" s="3">
        <f t="shared" si="38"/>
        <v>0</v>
      </c>
      <c r="I397" s="21">
        <f aca="true" t="shared" si="39" ref="I397:I405">H397/1923*-725</f>
        <v>0</v>
      </c>
    </row>
    <row r="398" spans="1:9" ht="13.5">
      <c r="A398" s="1">
        <v>4</v>
      </c>
      <c r="B398" s="2" t="s">
        <v>393</v>
      </c>
      <c r="C398" s="3">
        <v>760</v>
      </c>
      <c r="D398" s="3">
        <v>4</v>
      </c>
      <c r="E398" s="3">
        <v>6</v>
      </c>
      <c r="F398" s="3">
        <f t="shared" si="37"/>
        <v>750</v>
      </c>
      <c r="G398" s="3">
        <v>750</v>
      </c>
      <c r="H398" s="3">
        <f t="shared" si="38"/>
        <v>0</v>
      </c>
      <c r="I398" s="21">
        <f t="shared" si="39"/>
        <v>0</v>
      </c>
    </row>
    <row r="399" spans="1:9" ht="13.5">
      <c r="A399" s="1">
        <v>5</v>
      </c>
      <c r="B399" s="2" t="s">
        <v>394</v>
      </c>
      <c r="C399" s="3">
        <v>1179</v>
      </c>
      <c r="D399" s="3">
        <v>4</v>
      </c>
      <c r="E399" s="3">
        <v>6</v>
      </c>
      <c r="F399" s="3">
        <f t="shared" si="37"/>
        <v>1169</v>
      </c>
      <c r="G399" s="3">
        <v>1305</v>
      </c>
      <c r="H399" s="3">
        <f t="shared" si="38"/>
        <v>-136</v>
      </c>
      <c r="I399" s="21">
        <f>H399/1923*-662</f>
        <v>46.81851274050962</v>
      </c>
    </row>
    <row r="400" spans="1:9" ht="13.5">
      <c r="A400" s="14" t="s">
        <v>476</v>
      </c>
      <c r="B400" s="15" t="s">
        <v>395</v>
      </c>
      <c r="C400" s="16">
        <f>SUM(C401:C405)</f>
        <v>10100</v>
      </c>
      <c r="D400" s="16">
        <f>SUM(D401:D405)</f>
        <v>51</v>
      </c>
      <c r="E400" s="16">
        <f>SUM(E401:E405)</f>
        <v>99</v>
      </c>
      <c r="F400" s="16">
        <f t="shared" si="37"/>
        <v>9950</v>
      </c>
      <c r="G400" s="16">
        <f>SUM(G401:G405)</f>
        <v>9950</v>
      </c>
      <c r="H400" s="16">
        <f t="shared" si="38"/>
        <v>0</v>
      </c>
      <c r="I400" s="21">
        <f t="shared" si="39"/>
        <v>0</v>
      </c>
    </row>
    <row r="401" spans="1:9" ht="13.5">
      <c r="A401" s="1">
        <v>1</v>
      </c>
      <c r="B401" s="2" t="s">
        <v>396</v>
      </c>
      <c r="C401" s="3">
        <v>1664</v>
      </c>
      <c r="D401" s="3">
        <v>10</v>
      </c>
      <c r="E401" s="3">
        <v>37</v>
      </c>
      <c r="F401" s="3">
        <f t="shared" si="37"/>
        <v>1617</v>
      </c>
      <c r="G401" s="3">
        <v>1617</v>
      </c>
      <c r="H401" s="3">
        <f t="shared" si="38"/>
        <v>0</v>
      </c>
      <c r="I401" s="21">
        <f t="shared" si="39"/>
        <v>0</v>
      </c>
    </row>
    <row r="402" spans="1:9" ht="13.5">
      <c r="A402" s="1">
        <v>2</v>
      </c>
      <c r="B402" s="2" t="s">
        <v>397</v>
      </c>
      <c r="C402" s="3">
        <v>4383</v>
      </c>
      <c r="D402" s="3">
        <v>21</v>
      </c>
      <c r="E402" s="3">
        <v>25</v>
      </c>
      <c r="F402" s="3">
        <f t="shared" si="37"/>
        <v>4337</v>
      </c>
      <c r="G402" s="3">
        <v>4337</v>
      </c>
      <c r="H402" s="3">
        <f t="shared" si="38"/>
        <v>0</v>
      </c>
      <c r="I402" s="21">
        <f t="shared" si="39"/>
        <v>0</v>
      </c>
    </row>
    <row r="403" spans="1:9" ht="13.5">
      <c r="A403" s="1">
        <v>3</v>
      </c>
      <c r="B403" s="2" t="s">
        <v>398</v>
      </c>
      <c r="C403" s="3">
        <v>707</v>
      </c>
      <c r="D403" s="3">
        <v>1</v>
      </c>
      <c r="E403" s="3">
        <v>2</v>
      </c>
      <c r="F403" s="3">
        <f t="shared" si="37"/>
        <v>704</v>
      </c>
      <c r="G403" s="3">
        <v>704</v>
      </c>
      <c r="H403" s="3">
        <f t="shared" si="38"/>
        <v>0</v>
      </c>
      <c r="I403" s="21">
        <f t="shared" si="39"/>
        <v>0</v>
      </c>
    </row>
    <row r="404" spans="1:9" ht="13.5">
      <c r="A404" s="1">
        <v>4</v>
      </c>
      <c r="B404" s="2" t="s">
        <v>399</v>
      </c>
      <c r="C404" s="3">
        <v>1556</v>
      </c>
      <c r="D404" s="3">
        <v>11</v>
      </c>
      <c r="E404" s="3">
        <v>16</v>
      </c>
      <c r="F404" s="3">
        <f t="shared" si="37"/>
        <v>1529</v>
      </c>
      <c r="G404" s="3">
        <v>1529</v>
      </c>
      <c r="H404" s="3">
        <f t="shared" si="38"/>
        <v>0</v>
      </c>
      <c r="I404" s="21">
        <f t="shared" si="39"/>
        <v>0</v>
      </c>
    </row>
    <row r="405" spans="1:9" ht="13.5">
      <c r="A405" s="1">
        <v>5</v>
      </c>
      <c r="B405" s="2" t="s">
        <v>400</v>
      </c>
      <c r="C405" s="3">
        <v>1790</v>
      </c>
      <c r="D405" s="3">
        <v>8</v>
      </c>
      <c r="E405" s="3">
        <v>19</v>
      </c>
      <c r="F405" s="3">
        <f t="shared" si="37"/>
        <v>1763</v>
      </c>
      <c r="G405" s="3">
        <v>1763</v>
      </c>
      <c r="H405" s="3">
        <f t="shared" si="38"/>
        <v>0</v>
      </c>
      <c r="I405" s="21">
        <f t="shared" si="39"/>
        <v>0</v>
      </c>
    </row>
    <row r="406" spans="1:9" ht="13.5">
      <c r="A406" s="14" t="s">
        <v>477</v>
      </c>
      <c r="B406" s="15" t="s">
        <v>401</v>
      </c>
      <c r="C406" s="16">
        <f>SUM(C407:C434)</f>
        <v>13976</v>
      </c>
      <c r="D406" s="16">
        <f>SUM(D407:D434)</f>
        <v>54</v>
      </c>
      <c r="E406" s="16">
        <f>SUM(E407:E434)</f>
        <v>75</v>
      </c>
      <c r="F406" s="16">
        <f t="shared" si="37"/>
        <v>13847</v>
      </c>
      <c r="G406" s="16">
        <f>SUM(G407:G434)</f>
        <v>13909</v>
      </c>
      <c r="H406" s="16">
        <f t="shared" si="38"/>
        <v>-62</v>
      </c>
      <c r="I406" s="23">
        <f>H406/-176206*60700</f>
        <v>21.35795602873909</v>
      </c>
    </row>
    <row r="407" spans="1:9" ht="13.5">
      <c r="A407" s="1">
        <v>1</v>
      </c>
      <c r="B407" s="2" t="s">
        <v>402</v>
      </c>
      <c r="C407" s="4">
        <v>1469</v>
      </c>
      <c r="D407" s="4">
        <v>11</v>
      </c>
      <c r="E407" s="4">
        <v>16</v>
      </c>
      <c r="F407" s="4">
        <f t="shared" si="37"/>
        <v>1442</v>
      </c>
      <c r="G407" s="44">
        <v>1458</v>
      </c>
      <c r="H407" s="4">
        <f t="shared" si="38"/>
        <v>-16</v>
      </c>
      <c r="I407" s="21">
        <f>H407/62*-21</f>
        <v>5.419354838709677</v>
      </c>
    </row>
    <row r="408" spans="1:9" ht="13.5">
      <c r="A408" s="1">
        <v>2</v>
      </c>
      <c r="B408" s="2" t="s">
        <v>403</v>
      </c>
      <c r="C408" s="3">
        <v>995</v>
      </c>
      <c r="D408" s="3">
        <v>1</v>
      </c>
      <c r="E408" s="3">
        <v>1</v>
      </c>
      <c r="F408" s="3">
        <f t="shared" si="37"/>
        <v>993</v>
      </c>
      <c r="G408" s="44">
        <v>994</v>
      </c>
      <c r="H408" s="3">
        <f t="shared" si="38"/>
        <v>-1</v>
      </c>
      <c r="I408" s="21">
        <v>0</v>
      </c>
    </row>
    <row r="409" spans="1:9" ht="13.5">
      <c r="A409" s="1">
        <v>3</v>
      </c>
      <c r="B409" s="2" t="s">
        <v>404</v>
      </c>
      <c r="C409" s="3">
        <v>955</v>
      </c>
      <c r="D409" s="3">
        <v>3</v>
      </c>
      <c r="E409" s="3">
        <v>8</v>
      </c>
      <c r="F409" s="3">
        <f t="shared" si="37"/>
        <v>944</v>
      </c>
      <c r="G409" s="44">
        <v>952</v>
      </c>
      <c r="H409" s="3">
        <f t="shared" si="38"/>
        <v>-8</v>
      </c>
      <c r="I409" s="21">
        <f>H409/62*-21</f>
        <v>2.7096774193548385</v>
      </c>
    </row>
    <row r="410" spans="1:9" ht="13.5">
      <c r="A410" s="1">
        <v>4</v>
      </c>
      <c r="B410" s="2" t="s">
        <v>405</v>
      </c>
      <c r="C410" s="3">
        <v>1009</v>
      </c>
      <c r="D410" s="3">
        <v>7</v>
      </c>
      <c r="E410" s="3">
        <v>1</v>
      </c>
      <c r="F410" s="3">
        <f t="shared" si="37"/>
        <v>1001</v>
      </c>
      <c r="G410" s="44">
        <v>1002</v>
      </c>
      <c r="H410" s="3">
        <f t="shared" si="38"/>
        <v>-1</v>
      </c>
      <c r="I410" s="21">
        <v>0</v>
      </c>
    </row>
    <row r="411" spans="1:9" ht="13.5">
      <c r="A411" s="1">
        <v>5</v>
      </c>
      <c r="B411" s="2" t="s">
        <v>406</v>
      </c>
      <c r="C411" s="3">
        <v>617</v>
      </c>
      <c r="D411" s="3">
        <v>2</v>
      </c>
      <c r="E411" s="3">
        <v>6</v>
      </c>
      <c r="F411" s="3">
        <f t="shared" si="37"/>
        <v>609</v>
      </c>
      <c r="G411" s="44">
        <v>615</v>
      </c>
      <c r="H411" s="3">
        <f t="shared" si="38"/>
        <v>-6</v>
      </c>
      <c r="I411" s="21">
        <f aca="true" t="shared" si="40" ref="I411:I416">H411/62*-21</f>
        <v>2.032258064516129</v>
      </c>
    </row>
    <row r="412" spans="1:9" ht="13.5">
      <c r="A412" s="1">
        <v>6</v>
      </c>
      <c r="B412" s="2" t="s">
        <v>407</v>
      </c>
      <c r="C412" s="3">
        <v>773</v>
      </c>
      <c r="D412" s="3">
        <v>2</v>
      </c>
      <c r="E412" s="3">
        <v>6</v>
      </c>
      <c r="F412" s="3">
        <f t="shared" si="37"/>
        <v>765</v>
      </c>
      <c r="G412" s="44">
        <v>771</v>
      </c>
      <c r="H412" s="3">
        <f t="shared" si="38"/>
        <v>-6</v>
      </c>
      <c r="I412" s="21">
        <f t="shared" si="40"/>
        <v>2.032258064516129</v>
      </c>
    </row>
    <row r="413" spans="1:9" ht="13.5">
      <c r="A413" s="1">
        <v>7</v>
      </c>
      <c r="B413" s="2" t="s">
        <v>408</v>
      </c>
      <c r="C413" s="3">
        <v>1077</v>
      </c>
      <c r="D413" s="3">
        <v>3</v>
      </c>
      <c r="E413" s="3">
        <v>6</v>
      </c>
      <c r="F413" s="3">
        <f t="shared" si="37"/>
        <v>1068</v>
      </c>
      <c r="G413" s="44">
        <v>1074</v>
      </c>
      <c r="H413" s="3">
        <f t="shared" si="38"/>
        <v>-6</v>
      </c>
      <c r="I413" s="21">
        <f t="shared" si="40"/>
        <v>2.032258064516129</v>
      </c>
    </row>
    <row r="414" spans="1:9" ht="13.5">
      <c r="A414" s="1">
        <v>8</v>
      </c>
      <c r="B414" s="2" t="s">
        <v>409</v>
      </c>
      <c r="C414" s="3">
        <v>970</v>
      </c>
      <c r="D414" s="3">
        <v>0</v>
      </c>
      <c r="E414" s="3">
        <v>5</v>
      </c>
      <c r="F414" s="3">
        <f t="shared" si="37"/>
        <v>965</v>
      </c>
      <c r="G414" s="44">
        <v>970</v>
      </c>
      <c r="H414" s="3">
        <f t="shared" si="38"/>
        <v>-5</v>
      </c>
      <c r="I414" s="21">
        <f t="shared" si="40"/>
        <v>1.6935483870967742</v>
      </c>
    </row>
    <row r="415" spans="1:9" ht="13.5">
      <c r="A415" s="1">
        <v>9</v>
      </c>
      <c r="B415" s="2" t="s">
        <v>410</v>
      </c>
      <c r="C415" s="3">
        <v>1269</v>
      </c>
      <c r="D415" s="3">
        <v>2</v>
      </c>
      <c r="E415" s="3">
        <v>7</v>
      </c>
      <c r="F415" s="3">
        <f t="shared" si="37"/>
        <v>1260</v>
      </c>
      <c r="G415" s="44">
        <v>1267</v>
      </c>
      <c r="H415" s="3">
        <f t="shared" si="38"/>
        <v>-7</v>
      </c>
      <c r="I415" s="21">
        <f t="shared" si="40"/>
        <v>2.370967741935484</v>
      </c>
    </row>
    <row r="416" spans="1:9" ht="13.5">
      <c r="A416" s="1">
        <v>10</v>
      </c>
      <c r="B416" s="2" t="s">
        <v>411</v>
      </c>
      <c r="C416" s="3">
        <v>522</v>
      </c>
      <c r="D416" s="3">
        <v>5</v>
      </c>
      <c r="E416" s="3">
        <v>2</v>
      </c>
      <c r="F416" s="3">
        <f t="shared" si="37"/>
        <v>515</v>
      </c>
      <c r="G416" s="44">
        <v>517</v>
      </c>
      <c r="H416" s="3">
        <f t="shared" si="38"/>
        <v>-2</v>
      </c>
      <c r="I416" s="21">
        <f t="shared" si="40"/>
        <v>0.6774193548387096</v>
      </c>
    </row>
    <row r="417" spans="1:9" ht="13.5">
      <c r="A417" s="1">
        <v>11</v>
      </c>
      <c r="B417" s="2" t="s">
        <v>412</v>
      </c>
      <c r="C417" s="3">
        <v>116</v>
      </c>
      <c r="D417" s="3">
        <v>0</v>
      </c>
      <c r="E417" s="3">
        <v>0</v>
      </c>
      <c r="F417" s="3">
        <f t="shared" si="37"/>
        <v>116</v>
      </c>
      <c r="G417" s="44">
        <v>116</v>
      </c>
      <c r="H417" s="3">
        <f t="shared" si="38"/>
        <v>0</v>
      </c>
      <c r="I417" s="21">
        <f aca="true" t="shared" si="41" ref="I417:I434">H417/62*-23</f>
        <v>0</v>
      </c>
    </row>
    <row r="418" spans="1:9" ht="13.5">
      <c r="A418" s="1">
        <v>12</v>
      </c>
      <c r="B418" s="2" t="s">
        <v>413</v>
      </c>
      <c r="C418" s="3">
        <v>341</v>
      </c>
      <c r="D418" s="3">
        <v>3</v>
      </c>
      <c r="E418" s="3">
        <v>4</v>
      </c>
      <c r="F418" s="3">
        <f t="shared" si="37"/>
        <v>334</v>
      </c>
      <c r="G418" s="44">
        <v>338</v>
      </c>
      <c r="H418" s="3">
        <f t="shared" si="38"/>
        <v>-4</v>
      </c>
      <c r="I418" s="21">
        <v>2</v>
      </c>
    </row>
    <row r="419" spans="1:9" ht="13.5">
      <c r="A419" s="1">
        <v>13</v>
      </c>
      <c r="B419" s="2" t="s">
        <v>414</v>
      </c>
      <c r="C419" s="3">
        <v>119</v>
      </c>
      <c r="D419" s="3">
        <v>1</v>
      </c>
      <c r="E419" s="3">
        <v>0</v>
      </c>
      <c r="F419" s="3">
        <f t="shared" si="37"/>
        <v>118</v>
      </c>
      <c r="G419" s="3">
        <v>118</v>
      </c>
      <c r="H419" s="3">
        <f t="shared" si="38"/>
        <v>0</v>
      </c>
      <c r="I419" s="21">
        <f t="shared" si="41"/>
        <v>0</v>
      </c>
    </row>
    <row r="420" spans="1:9" ht="13.5">
      <c r="A420" s="1">
        <v>14</v>
      </c>
      <c r="B420" s="2" t="s">
        <v>415</v>
      </c>
      <c r="C420" s="3">
        <v>236</v>
      </c>
      <c r="D420" s="3">
        <v>1</v>
      </c>
      <c r="E420" s="3">
        <v>3</v>
      </c>
      <c r="F420" s="3">
        <f t="shared" si="37"/>
        <v>232</v>
      </c>
      <c r="G420" s="3">
        <v>232</v>
      </c>
      <c r="H420" s="3">
        <f t="shared" si="38"/>
        <v>0</v>
      </c>
      <c r="I420" s="21">
        <f t="shared" si="41"/>
        <v>0</v>
      </c>
    </row>
    <row r="421" spans="1:9" ht="13.5">
      <c r="A421" s="1">
        <v>15</v>
      </c>
      <c r="B421" s="2" t="s">
        <v>416</v>
      </c>
      <c r="C421" s="3">
        <v>160</v>
      </c>
      <c r="D421" s="3">
        <v>0</v>
      </c>
      <c r="E421" s="3">
        <v>0</v>
      </c>
      <c r="F421" s="3">
        <f t="shared" si="37"/>
        <v>160</v>
      </c>
      <c r="G421" s="3">
        <v>160</v>
      </c>
      <c r="H421" s="3">
        <f t="shared" si="38"/>
        <v>0</v>
      </c>
      <c r="I421" s="21">
        <f t="shared" si="41"/>
        <v>0</v>
      </c>
    </row>
    <row r="422" spans="1:9" ht="13.5">
      <c r="A422" s="1">
        <v>16</v>
      </c>
      <c r="B422" s="2" t="s">
        <v>417</v>
      </c>
      <c r="C422" s="3">
        <v>114</v>
      </c>
      <c r="D422" s="3">
        <v>0</v>
      </c>
      <c r="E422" s="3">
        <v>0</v>
      </c>
      <c r="F422" s="3">
        <f t="shared" si="37"/>
        <v>114</v>
      </c>
      <c r="G422" s="3">
        <v>114</v>
      </c>
      <c r="H422" s="3">
        <f t="shared" si="38"/>
        <v>0</v>
      </c>
      <c r="I422" s="21">
        <f t="shared" si="41"/>
        <v>0</v>
      </c>
    </row>
    <row r="423" spans="1:9" ht="13.5">
      <c r="A423" s="1">
        <v>17</v>
      </c>
      <c r="B423" s="2" t="s">
        <v>418</v>
      </c>
      <c r="C423" s="3">
        <v>53</v>
      </c>
      <c r="D423" s="3">
        <v>0</v>
      </c>
      <c r="E423" s="3">
        <v>0</v>
      </c>
      <c r="F423" s="3">
        <f t="shared" si="37"/>
        <v>53</v>
      </c>
      <c r="G423" s="3">
        <v>53</v>
      </c>
      <c r="H423" s="3">
        <f t="shared" si="38"/>
        <v>0</v>
      </c>
      <c r="I423" s="21">
        <f t="shared" si="41"/>
        <v>0</v>
      </c>
    </row>
    <row r="424" spans="1:9" ht="13.5">
      <c r="A424" s="1">
        <v>18</v>
      </c>
      <c r="B424" s="2" t="s">
        <v>419</v>
      </c>
      <c r="C424" s="3">
        <v>112</v>
      </c>
      <c r="D424" s="3">
        <v>0</v>
      </c>
      <c r="E424" s="3">
        <v>0</v>
      </c>
      <c r="F424" s="3">
        <f t="shared" si="37"/>
        <v>112</v>
      </c>
      <c r="G424" s="3">
        <v>112</v>
      </c>
      <c r="H424" s="3">
        <f t="shared" si="38"/>
        <v>0</v>
      </c>
      <c r="I424" s="21">
        <f t="shared" si="41"/>
        <v>0</v>
      </c>
    </row>
    <row r="425" spans="1:9" ht="13.5">
      <c r="A425" s="1">
        <v>19</v>
      </c>
      <c r="B425" s="2" t="s">
        <v>420</v>
      </c>
      <c r="C425" s="3">
        <v>100</v>
      </c>
      <c r="D425" s="3">
        <v>0</v>
      </c>
      <c r="E425" s="3">
        <v>0</v>
      </c>
      <c r="F425" s="3">
        <f t="shared" si="37"/>
        <v>100</v>
      </c>
      <c r="G425" s="3">
        <v>100</v>
      </c>
      <c r="H425" s="3">
        <f t="shared" si="38"/>
        <v>0</v>
      </c>
      <c r="I425" s="21">
        <f t="shared" si="41"/>
        <v>0</v>
      </c>
    </row>
    <row r="426" spans="1:9" ht="13.5">
      <c r="A426" s="1">
        <v>20</v>
      </c>
      <c r="B426" s="2" t="s">
        <v>421</v>
      </c>
      <c r="C426" s="3">
        <v>316</v>
      </c>
      <c r="D426" s="3">
        <v>2</v>
      </c>
      <c r="E426" s="3">
        <v>1</v>
      </c>
      <c r="F426" s="3">
        <f t="shared" si="37"/>
        <v>313</v>
      </c>
      <c r="G426" s="3">
        <v>313</v>
      </c>
      <c r="H426" s="3">
        <f t="shared" si="38"/>
        <v>0</v>
      </c>
      <c r="I426" s="21">
        <f t="shared" si="41"/>
        <v>0</v>
      </c>
    </row>
    <row r="427" spans="1:9" ht="13.5">
      <c r="A427" s="1">
        <v>21</v>
      </c>
      <c r="B427" s="2" t="s">
        <v>422</v>
      </c>
      <c r="C427" s="3">
        <v>165</v>
      </c>
      <c r="D427" s="3">
        <v>1</v>
      </c>
      <c r="E427" s="3">
        <v>0</v>
      </c>
      <c r="F427" s="3">
        <f t="shared" si="37"/>
        <v>164</v>
      </c>
      <c r="G427" s="3">
        <v>164</v>
      </c>
      <c r="H427" s="3">
        <f t="shared" si="38"/>
        <v>0</v>
      </c>
      <c r="I427" s="21">
        <f t="shared" si="41"/>
        <v>0</v>
      </c>
    </row>
    <row r="428" spans="1:9" ht="13.5">
      <c r="A428" s="1">
        <v>22</v>
      </c>
      <c r="B428" s="2" t="s">
        <v>423</v>
      </c>
      <c r="C428" s="3">
        <v>309</v>
      </c>
      <c r="D428" s="3">
        <v>0</v>
      </c>
      <c r="E428" s="3">
        <v>4</v>
      </c>
      <c r="F428" s="3">
        <f t="shared" si="37"/>
        <v>305</v>
      </c>
      <c r="G428" s="3">
        <v>305</v>
      </c>
      <c r="H428" s="3">
        <f t="shared" si="38"/>
        <v>0</v>
      </c>
      <c r="I428" s="21">
        <f t="shared" si="41"/>
        <v>0</v>
      </c>
    </row>
    <row r="429" spans="1:9" ht="13.5">
      <c r="A429" s="1">
        <v>23</v>
      </c>
      <c r="B429" s="2" t="s">
        <v>424</v>
      </c>
      <c r="C429" s="3">
        <v>226</v>
      </c>
      <c r="D429" s="3">
        <v>1</v>
      </c>
      <c r="E429" s="3">
        <v>1</v>
      </c>
      <c r="F429" s="3">
        <f t="shared" si="37"/>
        <v>224</v>
      </c>
      <c r="G429" s="3">
        <v>224</v>
      </c>
      <c r="H429" s="3">
        <f t="shared" si="38"/>
        <v>0</v>
      </c>
      <c r="I429" s="21">
        <f t="shared" si="41"/>
        <v>0</v>
      </c>
    </row>
    <row r="430" spans="1:9" ht="13.5">
      <c r="A430" s="1">
        <v>24</v>
      </c>
      <c r="B430" s="2" t="s">
        <v>425</v>
      </c>
      <c r="C430" s="3">
        <v>114</v>
      </c>
      <c r="D430" s="3">
        <v>0</v>
      </c>
      <c r="E430" s="3">
        <v>0</v>
      </c>
      <c r="F430" s="3">
        <f t="shared" si="37"/>
        <v>114</v>
      </c>
      <c r="G430" s="3">
        <v>114</v>
      </c>
      <c r="H430" s="3">
        <f t="shared" si="38"/>
        <v>0</v>
      </c>
      <c r="I430" s="21">
        <f t="shared" si="41"/>
        <v>0</v>
      </c>
    </row>
    <row r="431" spans="1:9" ht="13.5">
      <c r="A431" s="1">
        <v>25</v>
      </c>
      <c r="B431" s="2" t="s">
        <v>426</v>
      </c>
      <c r="C431" s="3">
        <v>44</v>
      </c>
      <c r="D431" s="3">
        <v>1</v>
      </c>
      <c r="E431" s="3">
        <v>0</v>
      </c>
      <c r="F431" s="3">
        <f t="shared" si="37"/>
        <v>43</v>
      </c>
      <c r="G431" s="3">
        <v>43</v>
      </c>
      <c r="H431" s="3">
        <f t="shared" si="38"/>
        <v>0</v>
      </c>
      <c r="I431" s="21">
        <f t="shared" si="41"/>
        <v>0</v>
      </c>
    </row>
    <row r="432" spans="1:9" ht="13.5">
      <c r="A432" s="1">
        <v>26</v>
      </c>
      <c r="B432" s="2" t="s">
        <v>427</v>
      </c>
      <c r="C432" s="3">
        <v>11</v>
      </c>
      <c r="D432" s="3">
        <v>0</v>
      </c>
      <c r="E432" s="3">
        <v>0</v>
      </c>
      <c r="F432" s="3">
        <f t="shared" si="37"/>
        <v>11</v>
      </c>
      <c r="G432" s="3">
        <v>11</v>
      </c>
      <c r="H432" s="3">
        <f t="shared" si="38"/>
        <v>0</v>
      </c>
      <c r="I432" s="21">
        <f t="shared" si="41"/>
        <v>0</v>
      </c>
    </row>
    <row r="433" spans="1:9" ht="13.5">
      <c r="A433" s="1">
        <v>27</v>
      </c>
      <c r="B433" s="2" t="s">
        <v>428</v>
      </c>
      <c r="C433" s="3">
        <v>1061</v>
      </c>
      <c r="D433" s="3">
        <v>3</v>
      </c>
      <c r="E433" s="3">
        <v>2</v>
      </c>
      <c r="F433" s="3">
        <f t="shared" si="37"/>
        <v>1056</v>
      </c>
      <c r="G433" s="3">
        <v>1056</v>
      </c>
      <c r="H433" s="3">
        <f t="shared" si="38"/>
        <v>0</v>
      </c>
      <c r="I433" s="21">
        <f t="shared" si="41"/>
        <v>0</v>
      </c>
    </row>
    <row r="434" spans="1:9" ht="13.5">
      <c r="A434" s="1">
        <v>28</v>
      </c>
      <c r="B434" s="2" t="s">
        <v>429</v>
      </c>
      <c r="C434" s="3">
        <v>723</v>
      </c>
      <c r="D434" s="3">
        <v>5</v>
      </c>
      <c r="E434" s="3">
        <v>2</v>
      </c>
      <c r="F434" s="3">
        <f t="shared" si="37"/>
        <v>716</v>
      </c>
      <c r="G434" s="3">
        <v>716</v>
      </c>
      <c r="H434" s="3">
        <f t="shared" si="38"/>
        <v>0</v>
      </c>
      <c r="I434" s="21">
        <f t="shared" si="41"/>
        <v>0</v>
      </c>
    </row>
    <row r="435" spans="1:9" ht="13.5">
      <c r="A435" s="14" t="s">
        <v>478</v>
      </c>
      <c r="B435" s="15" t="s">
        <v>430</v>
      </c>
      <c r="C435" s="16">
        <f>SUM(C436:C443)</f>
        <v>5392</v>
      </c>
      <c r="D435" s="16">
        <f>SUM(D436:D443)</f>
        <v>10</v>
      </c>
      <c r="E435" s="16">
        <f>SUM(E436:E443)</f>
        <v>36</v>
      </c>
      <c r="F435" s="16">
        <f t="shared" si="37"/>
        <v>5346</v>
      </c>
      <c r="G435" s="16">
        <f>SUM(G436:G443)</f>
        <v>5521</v>
      </c>
      <c r="H435" s="16">
        <f t="shared" si="38"/>
        <v>-175</v>
      </c>
      <c r="I435" s="23">
        <f>H435/-176206*60700</f>
        <v>60.28455330692485</v>
      </c>
    </row>
    <row r="436" spans="1:9" ht="13.5">
      <c r="A436" s="1">
        <v>1</v>
      </c>
      <c r="B436" s="2" t="s">
        <v>431</v>
      </c>
      <c r="C436" s="3">
        <v>3181</v>
      </c>
      <c r="D436" s="3">
        <v>8</v>
      </c>
      <c r="E436" s="3">
        <v>28</v>
      </c>
      <c r="F436" s="3">
        <f t="shared" si="37"/>
        <v>3145</v>
      </c>
      <c r="G436" s="3">
        <v>3145</v>
      </c>
      <c r="H436" s="3">
        <f t="shared" si="38"/>
        <v>0</v>
      </c>
      <c r="I436" s="21">
        <f>H436/-175*66</f>
        <v>0</v>
      </c>
    </row>
    <row r="437" spans="1:9" ht="13.5">
      <c r="A437" s="1">
        <v>2</v>
      </c>
      <c r="B437" s="2" t="s">
        <v>432</v>
      </c>
      <c r="C437" s="3">
        <v>1055</v>
      </c>
      <c r="D437" s="3">
        <v>0</v>
      </c>
      <c r="E437" s="3">
        <v>4</v>
      </c>
      <c r="F437" s="3">
        <f t="shared" si="37"/>
        <v>1051</v>
      </c>
      <c r="G437" s="3">
        <v>1206</v>
      </c>
      <c r="H437" s="3">
        <f aca="true" t="shared" si="42" ref="H437:H445">F437-G437</f>
        <v>-155</v>
      </c>
      <c r="I437" s="21">
        <f>H437/-175*60</f>
        <v>53.14285714285714</v>
      </c>
    </row>
    <row r="438" spans="1:9" ht="13.5">
      <c r="A438" s="1">
        <v>3</v>
      </c>
      <c r="B438" s="2" t="s">
        <v>433</v>
      </c>
      <c r="C438" s="3">
        <v>57</v>
      </c>
      <c r="D438" s="3">
        <v>0</v>
      </c>
      <c r="E438" s="3">
        <v>0</v>
      </c>
      <c r="F438" s="3">
        <f t="shared" si="37"/>
        <v>57</v>
      </c>
      <c r="G438" s="3">
        <v>57</v>
      </c>
      <c r="H438" s="3">
        <f t="shared" si="42"/>
        <v>0</v>
      </c>
      <c r="I438" s="21">
        <f aca="true" t="shared" si="43" ref="I438:I445">H438/-175*66</f>
        <v>0</v>
      </c>
    </row>
    <row r="439" spans="1:9" ht="13.5">
      <c r="A439" s="1">
        <v>4</v>
      </c>
      <c r="B439" s="2" t="s">
        <v>434</v>
      </c>
      <c r="C439" s="3">
        <v>3</v>
      </c>
      <c r="D439" s="3">
        <v>0</v>
      </c>
      <c r="E439" s="3">
        <v>0</v>
      </c>
      <c r="F439" s="3">
        <f t="shared" si="37"/>
        <v>3</v>
      </c>
      <c r="G439" s="3">
        <v>3</v>
      </c>
      <c r="H439" s="3">
        <f t="shared" si="42"/>
        <v>0</v>
      </c>
      <c r="I439" s="21">
        <f t="shared" si="43"/>
        <v>0</v>
      </c>
    </row>
    <row r="440" spans="1:9" ht="13.5">
      <c r="A440" s="1">
        <v>5</v>
      </c>
      <c r="B440" s="2" t="s">
        <v>435</v>
      </c>
      <c r="C440" s="3">
        <v>12</v>
      </c>
      <c r="D440" s="3">
        <v>0</v>
      </c>
      <c r="E440" s="3">
        <v>0</v>
      </c>
      <c r="F440" s="3">
        <f t="shared" si="37"/>
        <v>12</v>
      </c>
      <c r="G440" s="3">
        <v>12</v>
      </c>
      <c r="H440" s="3">
        <f t="shared" si="42"/>
        <v>0</v>
      </c>
      <c r="I440" s="21">
        <f t="shared" si="43"/>
        <v>0</v>
      </c>
    </row>
    <row r="441" spans="1:9" ht="13.5">
      <c r="A441" s="1">
        <v>6</v>
      </c>
      <c r="B441" s="2" t="s">
        <v>436</v>
      </c>
      <c r="C441" s="3">
        <v>113</v>
      </c>
      <c r="D441" s="3">
        <v>0</v>
      </c>
      <c r="E441" s="3">
        <v>0</v>
      </c>
      <c r="F441" s="3">
        <f t="shared" si="37"/>
        <v>113</v>
      </c>
      <c r="G441" s="3">
        <v>113</v>
      </c>
      <c r="H441" s="3">
        <f t="shared" si="42"/>
        <v>0</v>
      </c>
      <c r="I441" s="21">
        <f t="shared" si="43"/>
        <v>0</v>
      </c>
    </row>
    <row r="442" spans="1:9" ht="13.5">
      <c r="A442" s="1">
        <v>7</v>
      </c>
      <c r="B442" s="2" t="s">
        <v>437</v>
      </c>
      <c r="C442" s="3">
        <v>865</v>
      </c>
      <c r="D442" s="3">
        <v>1</v>
      </c>
      <c r="E442" s="3">
        <v>3</v>
      </c>
      <c r="F442" s="3">
        <f t="shared" si="37"/>
        <v>861</v>
      </c>
      <c r="G442" s="3">
        <v>881</v>
      </c>
      <c r="H442" s="3">
        <f t="shared" si="42"/>
        <v>-20</v>
      </c>
      <c r="I442" s="21">
        <f>H442/-175*60</f>
        <v>6.857142857142857</v>
      </c>
    </row>
    <row r="443" spans="1:9" ht="13.5">
      <c r="A443" s="1">
        <v>8</v>
      </c>
      <c r="B443" s="2" t="s">
        <v>438</v>
      </c>
      <c r="C443" s="3">
        <v>106</v>
      </c>
      <c r="D443" s="3">
        <v>1</v>
      </c>
      <c r="E443" s="3">
        <v>1</v>
      </c>
      <c r="F443" s="3">
        <f t="shared" si="37"/>
        <v>104</v>
      </c>
      <c r="G443" s="3">
        <v>104</v>
      </c>
      <c r="H443" s="3">
        <f t="shared" si="42"/>
        <v>0</v>
      </c>
      <c r="I443" s="21">
        <f t="shared" si="43"/>
        <v>0</v>
      </c>
    </row>
    <row r="444" spans="1:9" ht="13.5" customHeight="1">
      <c r="A444" s="37" t="s">
        <v>492</v>
      </c>
      <c r="B444" s="2" t="s">
        <v>439</v>
      </c>
      <c r="C444" s="3">
        <v>2</v>
      </c>
      <c r="D444" s="3">
        <v>0</v>
      </c>
      <c r="E444" s="3">
        <v>0</v>
      </c>
      <c r="F444" s="3">
        <f t="shared" si="37"/>
        <v>2</v>
      </c>
      <c r="G444" s="3">
        <v>2</v>
      </c>
      <c r="H444" s="3">
        <f t="shared" si="42"/>
        <v>0</v>
      </c>
      <c r="I444" s="21">
        <f t="shared" si="43"/>
        <v>0</v>
      </c>
    </row>
    <row r="445" spans="1:9" ht="13.5" customHeight="1">
      <c r="A445" s="45" t="s">
        <v>495</v>
      </c>
      <c r="B445" s="46" t="s">
        <v>440</v>
      </c>
      <c r="C445" s="47">
        <v>21</v>
      </c>
      <c r="D445" s="47">
        <v>0</v>
      </c>
      <c r="E445" s="47">
        <v>0</v>
      </c>
      <c r="F445" s="47">
        <f>C445-E445-D445</f>
        <v>21</v>
      </c>
      <c r="G445" s="47">
        <v>21</v>
      </c>
      <c r="H445" s="47">
        <f t="shared" si="42"/>
        <v>0</v>
      </c>
      <c r="I445" s="21">
        <f t="shared" si="43"/>
        <v>0</v>
      </c>
    </row>
    <row r="446" spans="1:9" ht="18" customHeight="1">
      <c r="A446" s="75" t="s">
        <v>2</v>
      </c>
      <c r="B446" s="76"/>
      <c r="C446" s="5">
        <f aca="true" t="shared" si="44" ref="C446:I446">C444+C445+C435+C406+C400+C394+C387+C358+C348+C339+C325+C311+C296+C285+C268+C259+C249+C242+C203+C197+C161+C135+C134+C128+C120+C109+C101+C89+C78+C66+C49+C27+C6</f>
        <v>993108</v>
      </c>
      <c r="D446" s="5">
        <f t="shared" si="44"/>
        <v>3258</v>
      </c>
      <c r="E446" s="5">
        <f t="shared" si="44"/>
        <v>8374</v>
      </c>
      <c r="F446" s="5">
        <f t="shared" si="44"/>
        <v>981476</v>
      </c>
      <c r="G446" s="5">
        <f t="shared" si="44"/>
        <v>1115415</v>
      </c>
      <c r="H446" s="5">
        <f t="shared" si="44"/>
        <v>-133939</v>
      </c>
      <c r="I446" s="5">
        <f t="shared" si="44"/>
        <v>46139.73020214977</v>
      </c>
    </row>
    <row r="447" spans="1:9" ht="13.5">
      <c r="A447" s="9"/>
      <c r="B447" s="9"/>
      <c r="C447" s="9"/>
      <c r="D447" s="9"/>
      <c r="E447" s="9"/>
      <c r="F447" s="9"/>
      <c r="G447" s="9"/>
      <c r="H447" s="18"/>
      <c r="I447" s="9"/>
    </row>
    <row r="448" spans="1:9" ht="13.5">
      <c r="A448" s="9"/>
      <c r="B448" s="9"/>
      <c r="C448" s="9"/>
      <c r="D448" s="9"/>
      <c r="E448" s="9"/>
      <c r="F448" s="9"/>
      <c r="G448" s="9"/>
      <c r="H448" s="9"/>
      <c r="I448" s="18"/>
    </row>
  </sheetData>
  <mergeCells count="12">
    <mergeCell ref="A446:B446"/>
    <mergeCell ref="E4:E5"/>
    <mergeCell ref="F4:F5"/>
    <mergeCell ref="G4:G5"/>
    <mergeCell ref="A1:I1"/>
    <mergeCell ref="A2:I2"/>
    <mergeCell ref="I4:I5"/>
    <mergeCell ref="A4:A5"/>
    <mergeCell ref="B4:B5"/>
    <mergeCell ref="C4:C5"/>
    <mergeCell ref="D4:D5"/>
    <mergeCell ref="H4:H5"/>
  </mergeCells>
  <printOptions horizontalCentered="1"/>
  <pageMargins left="0.78" right="0.49" top="0.81" bottom="1.37" header="0.5" footer="1.09"/>
  <pageSetup horizontalDpi="600" verticalDpi="600" orientation="portrait" pageOrder="overThenDown" paperSize="14" r:id="rId1"/>
  <headerFooter alignWithMargins="0">
    <oddFooter>&amp;C&amp;"Arial Narrow,Regular"&amp;9&amp;P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45"/>
  <sheetViews>
    <sheetView workbookViewId="0" topLeftCell="A7">
      <selection activeCell="B17" sqref="B17"/>
    </sheetView>
  </sheetViews>
  <sheetFormatPr defaultColWidth="9.140625" defaultRowHeight="12.75"/>
  <cols>
    <col min="1" max="1" width="4.8515625" style="0" customWidth="1"/>
    <col min="2" max="2" width="22.140625" style="0" bestFit="1" customWidth="1"/>
    <col min="3" max="3" width="7.28125" style="0" customWidth="1"/>
    <col min="4" max="4" width="5.421875" style="0" customWidth="1"/>
    <col min="5" max="5" width="5.8515625" style="0" customWidth="1"/>
    <col min="6" max="6" width="7.28125" style="0" customWidth="1"/>
    <col min="7" max="7" width="7.8515625" style="0" customWidth="1"/>
    <col min="8" max="8" width="9.28125" style="0" customWidth="1"/>
  </cols>
  <sheetData>
    <row r="1" spans="1:9" ht="12.75">
      <c r="A1" s="70" t="s">
        <v>479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0" t="s">
        <v>446</v>
      </c>
      <c r="B2" s="70"/>
      <c r="C2" s="70"/>
      <c r="D2" s="70"/>
      <c r="E2" s="70"/>
      <c r="F2" s="70"/>
      <c r="G2" s="70"/>
      <c r="H2" s="70"/>
      <c r="I2" s="70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9" ht="15" customHeight="1">
      <c r="A4" s="67" t="s">
        <v>0</v>
      </c>
      <c r="B4" s="67" t="s">
        <v>1</v>
      </c>
      <c r="C4" s="68" t="s">
        <v>483</v>
      </c>
      <c r="D4" s="72" t="s">
        <v>447</v>
      </c>
      <c r="E4" s="68" t="s">
        <v>442</v>
      </c>
      <c r="F4" s="68" t="s">
        <v>443</v>
      </c>
      <c r="G4" s="68" t="s">
        <v>444</v>
      </c>
      <c r="H4" s="69" t="s">
        <v>490</v>
      </c>
      <c r="I4" s="69" t="s">
        <v>496</v>
      </c>
    </row>
    <row r="5" spans="1:9" ht="27" customHeight="1">
      <c r="A5" s="67"/>
      <c r="B5" s="67"/>
      <c r="C5" s="68"/>
      <c r="D5" s="73"/>
      <c r="E5" s="68"/>
      <c r="F5" s="68"/>
      <c r="G5" s="68"/>
      <c r="H5" s="69"/>
      <c r="I5" s="69"/>
    </row>
    <row r="6" spans="1:9" ht="13.5">
      <c r="A6" s="11" t="s">
        <v>448</v>
      </c>
      <c r="B6" s="12" t="s">
        <v>3</v>
      </c>
      <c r="C6" s="13">
        <f>SUM(C7:C26)</f>
        <v>8370</v>
      </c>
      <c r="D6" s="13">
        <f>SUM(D7:D26)</f>
        <v>14</v>
      </c>
      <c r="E6" s="13">
        <f>SUM(E7:E26)</f>
        <v>44</v>
      </c>
      <c r="F6" s="13">
        <f>C6-E6-D6</f>
        <v>8312</v>
      </c>
      <c r="G6" s="13">
        <f>SUM(G7:G26)</f>
        <v>11347</v>
      </c>
      <c r="H6" s="13">
        <f>SUM(H7:H26)</f>
        <v>-3133</v>
      </c>
      <c r="I6" s="23">
        <f>H6/-45579*13363</f>
        <v>918.5431668092763</v>
      </c>
    </row>
    <row r="7" spans="1:10" ht="13.5">
      <c r="A7" s="1">
        <v>1</v>
      </c>
      <c r="B7" s="2" t="s">
        <v>4</v>
      </c>
      <c r="C7" s="3">
        <v>356</v>
      </c>
      <c r="D7" s="3"/>
      <c r="E7" s="3">
        <v>2</v>
      </c>
      <c r="F7" s="3">
        <f aca="true" t="shared" si="0" ref="F7:F70">C7-E7-D7</f>
        <v>354</v>
      </c>
      <c r="G7" s="3">
        <v>668</v>
      </c>
      <c r="H7" s="3">
        <f>F7-G7</f>
        <v>-314</v>
      </c>
      <c r="I7" s="21">
        <f>H7/3133*-919</f>
        <v>92.10533035429302</v>
      </c>
      <c r="J7" s="17"/>
    </row>
    <row r="8" spans="1:10" ht="13.5">
      <c r="A8" s="1">
        <v>2</v>
      </c>
      <c r="B8" s="2" t="s">
        <v>5</v>
      </c>
      <c r="C8" s="3">
        <v>272</v>
      </c>
      <c r="D8" s="3"/>
      <c r="E8" s="3">
        <v>2</v>
      </c>
      <c r="F8" s="3">
        <f t="shared" si="0"/>
        <v>270</v>
      </c>
      <c r="G8" s="3">
        <v>492</v>
      </c>
      <c r="H8" s="3">
        <f aca="true" t="shared" si="1" ref="H8:H71">F8-G8</f>
        <v>-222</v>
      </c>
      <c r="I8" s="21">
        <f aca="true" t="shared" si="2" ref="I8:I26">H8/3133*-919</f>
        <v>65.11905521864028</v>
      </c>
      <c r="J8" s="17"/>
    </row>
    <row r="9" spans="1:10" ht="13.5">
      <c r="A9" s="1">
        <v>3</v>
      </c>
      <c r="B9" s="2" t="s">
        <v>6</v>
      </c>
      <c r="C9" s="3">
        <v>317</v>
      </c>
      <c r="D9" s="3"/>
      <c r="E9" s="3">
        <v>1</v>
      </c>
      <c r="F9" s="3">
        <f t="shared" si="0"/>
        <v>316</v>
      </c>
      <c r="G9" s="3">
        <v>1199</v>
      </c>
      <c r="H9" s="3">
        <f t="shared" si="1"/>
        <v>-883</v>
      </c>
      <c r="I9" s="21">
        <f t="shared" si="2"/>
        <v>259.00957548675393</v>
      </c>
      <c r="J9" s="17"/>
    </row>
    <row r="10" spans="1:10" ht="13.5">
      <c r="A10" s="1">
        <v>4</v>
      </c>
      <c r="B10" s="2" t="s">
        <v>7</v>
      </c>
      <c r="C10" s="3">
        <v>567</v>
      </c>
      <c r="D10" s="3"/>
      <c r="E10" s="3">
        <v>3</v>
      </c>
      <c r="F10" s="3">
        <f t="shared" si="0"/>
        <v>564</v>
      </c>
      <c r="G10" s="3">
        <v>588</v>
      </c>
      <c r="H10" s="3">
        <f t="shared" si="1"/>
        <v>-24</v>
      </c>
      <c r="I10" s="21">
        <f t="shared" si="2"/>
        <v>7.039897861474625</v>
      </c>
      <c r="J10" s="17"/>
    </row>
    <row r="11" spans="1:10" ht="13.5">
      <c r="A11" s="1">
        <v>5</v>
      </c>
      <c r="B11" s="2" t="s">
        <v>8</v>
      </c>
      <c r="C11" s="3">
        <v>330</v>
      </c>
      <c r="D11" s="3">
        <v>2</v>
      </c>
      <c r="E11" s="3">
        <v>2</v>
      </c>
      <c r="F11" s="3">
        <f t="shared" si="0"/>
        <v>326</v>
      </c>
      <c r="G11" s="3">
        <v>769</v>
      </c>
      <c r="H11" s="3">
        <f t="shared" si="1"/>
        <v>-443</v>
      </c>
      <c r="I11" s="21">
        <f t="shared" si="2"/>
        <v>129.94478135971912</v>
      </c>
      <c r="J11" s="17"/>
    </row>
    <row r="12" spans="1:10" ht="13.5">
      <c r="A12" s="1">
        <v>6</v>
      </c>
      <c r="B12" s="2" t="s">
        <v>9</v>
      </c>
      <c r="C12" s="3">
        <v>1020</v>
      </c>
      <c r="D12" s="3">
        <v>1</v>
      </c>
      <c r="E12" s="3">
        <v>5</v>
      </c>
      <c r="F12" s="3">
        <f t="shared" si="0"/>
        <v>1014</v>
      </c>
      <c r="G12" s="3">
        <v>974</v>
      </c>
      <c r="H12" s="3">
        <v>0</v>
      </c>
      <c r="I12" s="21">
        <f t="shared" si="2"/>
        <v>0</v>
      </c>
      <c r="J12" s="17">
        <f>F12-G12</f>
        <v>40</v>
      </c>
    </row>
    <row r="13" spans="1:10" ht="13.5">
      <c r="A13" s="1">
        <v>7</v>
      </c>
      <c r="B13" s="2" t="s">
        <v>10</v>
      </c>
      <c r="C13" s="3">
        <v>1197</v>
      </c>
      <c r="D13" s="3">
        <v>3</v>
      </c>
      <c r="E13" s="3">
        <v>9</v>
      </c>
      <c r="F13" s="3">
        <f t="shared" si="0"/>
        <v>1185</v>
      </c>
      <c r="G13" s="3">
        <v>1537</v>
      </c>
      <c r="H13" s="3">
        <f t="shared" si="1"/>
        <v>-352</v>
      </c>
      <c r="I13" s="21">
        <f t="shared" si="2"/>
        <v>103.25183530162784</v>
      </c>
      <c r="J13" s="17"/>
    </row>
    <row r="14" spans="1:10" ht="13.5">
      <c r="A14" s="1">
        <v>8</v>
      </c>
      <c r="B14" s="2" t="s">
        <v>11</v>
      </c>
      <c r="C14" s="3">
        <v>690</v>
      </c>
      <c r="D14" s="3"/>
      <c r="E14" s="3"/>
      <c r="F14" s="3">
        <f t="shared" si="0"/>
        <v>690</v>
      </c>
      <c r="G14" s="3">
        <v>971</v>
      </c>
      <c r="H14" s="3">
        <f t="shared" si="1"/>
        <v>-281</v>
      </c>
      <c r="I14" s="21">
        <f t="shared" si="2"/>
        <v>82.4254707947654</v>
      </c>
      <c r="J14" s="17"/>
    </row>
    <row r="15" spans="1:10" ht="13.5">
      <c r="A15" s="1">
        <v>9</v>
      </c>
      <c r="B15" s="2" t="s">
        <v>12</v>
      </c>
      <c r="C15" s="3">
        <v>120</v>
      </c>
      <c r="D15" s="3"/>
      <c r="E15" s="3">
        <v>2</v>
      </c>
      <c r="F15" s="3">
        <f t="shared" si="0"/>
        <v>118</v>
      </c>
      <c r="G15" s="3">
        <v>230</v>
      </c>
      <c r="H15" s="3">
        <f t="shared" si="1"/>
        <v>-112</v>
      </c>
      <c r="I15" s="21">
        <f t="shared" si="2"/>
        <v>32.85285668688158</v>
      </c>
      <c r="J15" s="17"/>
    </row>
    <row r="16" spans="1:10" ht="13.5">
      <c r="A16" s="1">
        <v>10</v>
      </c>
      <c r="B16" s="2" t="s">
        <v>13</v>
      </c>
      <c r="C16" s="3">
        <v>104</v>
      </c>
      <c r="D16" s="3"/>
      <c r="E16" s="3">
        <v>1</v>
      </c>
      <c r="F16" s="3">
        <f t="shared" si="0"/>
        <v>103</v>
      </c>
      <c r="G16" s="3">
        <v>242</v>
      </c>
      <c r="H16" s="3">
        <f t="shared" si="1"/>
        <v>-139</v>
      </c>
      <c r="I16" s="21">
        <f t="shared" si="2"/>
        <v>40.77274178104054</v>
      </c>
      <c r="J16" s="17"/>
    </row>
    <row r="17" spans="1:10" ht="13.5">
      <c r="A17" s="1">
        <v>11</v>
      </c>
      <c r="B17" s="2" t="s">
        <v>14</v>
      </c>
      <c r="C17" s="3">
        <v>936</v>
      </c>
      <c r="D17" s="3">
        <v>1</v>
      </c>
      <c r="E17" s="3">
        <v>1</v>
      </c>
      <c r="F17" s="3">
        <f t="shared" si="0"/>
        <v>934</v>
      </c>
      <c r="G17" s="3">
        <v>1258</v>
      </c>
      <c r="H17" s="3">
        <f t="shared" si="1"/>
        <v>-324</v>
      </c>
      <c r="I17" s="21">
        <f t="shared" si="2"/>
        <v>95.03862112990743</v>
      </c>
      <c r="J17" s="17"/>
    </row>
    <row r="18" spans="1:10" ht="13.5">
      <c r="A18" s="1">
        <v>12</v>
      </c>
      <c r="B18" s="2" t="s">
        <v>15</v>
      </c>
      <c r="C18" s="3">
        <v>204</v>
      </c>
      <c r="D18" s="3"/>
      <c r="E18" s="3">
        <v>2</v>
      </c>
      <c r="F18" s="3">
        <f t="shared" si="0"/>
        <v>202</v>
      </c>
      <c r="G18" s="3">
        <v>202</v>
      </c>
      <c r="H18" s="3">
        <f t="shared" si="1"/>
        <v>0</v>
      </c>
      <c r="I18" s="21">
        <f t="shared" si="2"/>
        <v>0</v>
      </c>
      <c r="J18" s="17"/>
    </row>
    <row r="19" spans="1:10" ht="13.5">
      <c r="A19" s="1">
        <v>13</v>
      </c>
      <c r="B19" s="2" t="s">
        <v>16</v>
      </c>
      <c r="C19" s="3">
        <v>71</v>
      </c>
      <c r="D19" s="3"/>
      <c r="E19" s="3"/>
      <c r="F19" s="3">
        <f t="shared" si="0"/>
        <v>71</v>
      </c>
      <c r="G19" s="3">
        <v>71</v>
      </c>
      <c r="H19" s="3">
        <f t="shared" si="1"/>
        <v>0</v>
      </c>
      <c r="I19" s="21">
        <f t="shared" si="2"/>
        <v>0</v>
      </c>
      <c r="J19" s="17"/>
    </row>
    <row r="20" spans="1:10" ht="13.5">
      <c r="A20" s="1">
        <v>14</v>
      </c>
      <c r="B20" s="2" t="s">
        <v>17</v>
      </c>
      <c r="C20" s="3">
        <v>274</v>
      </c>
      <c r="D20" s="3"/>
      <c r="E20" s="3"/>
      <c r="F20" s="3">
        <f t="shared" si="0"/>
        <v>274</v>
      </c>
      <c r="G20" s="3">
        <v>274</v>
      </c>
      <c r="H20" s="3">
        <f t="shared" si="1"/>
        <v>0</v>
      </c>
      <c r="I20" s="21">
        <f t="shared" si="2"/>
        <v>0</v>
      </c>
      <c r="J20" s="17"/>
    </row>
    <row r="21" spans="1:10" ht="13.5">
      <c r="A21" s="1">
        <v>15</v>
      </c>
      <c r="B21" s="2" t="s">
        <v>18</v>
      </c>
      <c r="C21" s="3">
        <v>239</v>
      </c>
      <c r="D21" s="3"/>
      <c r="E21" s="3"/>
      <c r="F21" s="3">
        <f t="shared" si="0"/>
        <v>239</v>
      </c>
      <c r="G21" s="3">
        <v>239</v>
      </c>
      <c r="H21" s="3">
        <f t="shared" si="1"/>
        <v>0</v>
      </c>
      <c r="I21" s="21">
        <f t="shared" si="2"/>
        <v>0</v>
      </c>
      <c r="J21" s="17"/>
    </row>
    <row r="22" spans="1:10" ht="13.5">
      <c r="A22" s="1">
        <v>16</v>
      </c>
      <c r="B22" s="2" t="s">
        <v>19</v>
      </c>
      <c r="C22" s="3">
        <v>130</v>
      </c>
      <c r="D22" s="3"/>
      <c r="E22" s="3"/>
      <c r="F22" s="3">
        <f t="shared" si="0"/>
        <v>130</v>
      </c>
      <c r="G22" s="3">
        <v>130</v>
      </c>
      <c r="H22" s="3">
        <f t="shared" si="1"/>
        <v>0</v>
      </c>
      <c r="I22" s="21">
        <f t="shared" si="2"/>
        <v>0</v>
      </c>
      <c r="J22" s="17"/>
    </row>
    <row r="23" spans="1:10" ht="13.5">
      <c r="A23" s="1">
        <v>17</v>
      </c>
      <c r="B23" s="2" t="s">
        <v>20</v>
      </c>
      <c r="C23" s="3">
        <v>894</v>
      </c>
      <c r="D23" s="3">
        <v>3</v>
      </c>
      <c r="E23" s="3">
        <v>9</v>
      </c>
      <c r="F23" s="3">
        <f t="shared" si="0"/>
        <v>882</v>
      </c>
      <c r="G23" s="3">
        <v>824</v>
      </c>
      <c r="H23" s="3">
        <v>0</v>
      </c>
      <c r="I23" s="21">
        <f t="shared" si="2"/>
        <v>0</v>
      </c>
      <c r="J23" s="17">
        <f>F23-G23</f>
        <v>58</v>
      </c>
    </row>
    <row r="24" spans="1:10" ht="13.5">
      <c r="A24" s="1">
        <v>18</v>
      </c>
      <c r="B24" s="2" t="s">
        <v>21</v>
      </c>
      <c r="C24" s="3">
        <v>86</v>
      </c>
      <c r="D24" s="3"/>
      <c r="E24" s="3"/>
      <c r="F24" s="3">
        <f t="shared" si="0"/>
        <v>86</v>
      </c>
      <c r="G24" s="3">
        <v>125</v>
      </c>
      <c r="H24" s="3">
        <f t="shared" si="1"/>
        <v>-39</v>
      </c>
      <c r="I24" s="21">
        <f t="shared" si="2"/>
        <v>11.439834024896264</v>
      </c>
      <c r="J24" s="17"/>
    </row>
    <row r="25" spans="1:10" ht="13.5">
      <c r="A25" s="1">
        <v>19</v>
      </c>
      <c r="B25" s="2" t="s">
        <v>22</v>
      </c>
      <c r="C25" s="3">
        <v>294</v>
      </c>
      <c r="D25" s="3"/>
      <c r="E25" s="3">
        <v>3</v>
      </c>
      <c r="F25" s="3">
        <f t="shared" si="0"/>
        <v>291</v>
      </c>
      <c r="G25" s="3">
        <v>291</v>
      </c>
      <c r="H25" s="3">
        <f t="shared" si="1"/>
        <v>0</v>
      </c>
      <c r="I25" s="21">
        <f t="shared" si="2"/>
        <v>0</v>
      </c>
      <c r="J25" s="17"/>
    </row>
    <row r="26" spans="1:10" ht="13.5">
      <c r="A26" s="1">
        <v>20</v>
      </c>
      <c r="B26" s="2" t="s">
        <v>23</v>
      </c>
      <c r="C26" s="3">
        <v>269</v>
      </c>
      <c r="D26" s="3">
        <v>4</v>
      </c>
      <c r="E26" s="3">
        <v>2</v>
      </c>
      <c r="F26" s="3">
        <f t="shared" si="0"/>
        <v>263</v>
      </c>
      <c r="G26" s="3">
        <v>263</v>
      </c>
      <c r="H26" s="3">
        <f t="shared" si="1"/>
        <v>0</v>
      </c>
      <c r="I26" s="21">
        <f t="shared" si="2"/>
        <v>0</v>
      </c>
      <c r="J26" s="17"/>
    </row>
    <row r="27" spans="1:10" ht="13.5">
      <c r="A27" s="14" t="s">
        <v>449</v>
      </c>
      <c r="B27" s="15" t="s">
        <v>24</v>
      </c>
      <c r="C27" s="16">
        <f>SUM(C28:C47)</f>
        <v>17521</v>
      </c>
      <c r="D27" s="16">
        <f>SUM(D28:D47)</f>
        <v>83</v>
      </c>
      <c r="E27" s="16">
        <f>SUM(E28:E47)</f>
        <v>263</v>
      </c>
      <c r="F27" s="16">
        <f t="shared" si="0"/>
        <v>17175</v>
      </c>
      <c r="G27" s="16">
        <f>SUM(G28:G47)</f>
        <v>17776</v>
      </c>
      <c r="H27" s="16">
        <f>SUM(H28:H47)</f>
        <v>-1925</v>
      </c>
      <c r="I27" s="23">
        <f>H27/-45579*13363</f>
        <v>564.3777836284254</v>
      </c>
      <c r="J27" s="17"/>
    </row>
    <row r="28" spans="1:10" ht="13.5">
      <c r="A28" s="1">
        <v>1</v>
      </c>
      <c r="B28" s="2" t="s">
        <v>25</v>
      </c>
      <c r="C28" s="3">
        <v>463</v>
      </c>
      <c r="D28" s="3">
        <v>1</v>
      </c>
      <c r="E28" s="3">
        <v>2</v>
      </c>
      <c r="F28" s="3">
        <f t="shared" si="0"/>
        <v>460</v>
      </c>
      <c r="G28" s="3">
        <v>852</v>
      </c>
      <c r="H28" s="3">
        <f t="shared" si="1"/>
        <v>-392</v>
      </c>
      <c r="I28" s="21">
        <f>H28/-1925*564</f>
        <v>114.8509090909091</v>
      </c>
      <c r="J28" s="17"/>
    </row>
    <row r="29" spans="1:10" ht="13.5">
      <c r="A29" s="1">
        <v>2</v>
      </c>
      <c r="B29" s="2" t="s">
        <v>26</v>
      </c>
      <c r="C29" s="3">
        <v>825</v>
      </c>
      <c r="D29" s="3">
        <v>2</v>
      </c>
      <c r="E29" s="3">
        <v>8</v>
      </c>
      <c r="F29" s="3">
        <f t="shared" si="0"/>
        <v>815</v>
      </c>
      <c r="G29" s="3">
        <v>1268</v>
      </c>
      <c r="H29" s="3">
        <f t="shared" si="1"/>
        <v>-453</v>
      </c>
      <c r="I29" s="21">
        <f aca="true" t="shared" si="3" ref="I29:I47">H29/-1925*564</f>
        <v>132.7231168831169</v>
      </c>
      <c r="J29" s="17"/>
    </row>
    <row r="30" spans="1:10" ht="13.5">
      <c r="A30" s="1">
        <v>3</v>
      </c>
      <c r="B30" s="2" t="s">
        <v>27</v>
      </c>
      <c r="C30" s="3">
        <v>365</v>
      </c>
      <c r="D30" s="3">
        <v>1</v>
      </c>
      <c r="E30" s="3">
        <v>1</v>
      </c>
      <c r="F30" s="3">
        <f t="shared" si="0"/>
        <v>363</v>
      </c>
      <c r="G30" s="3">
        <v>471</v>
      </c>
      <c r="H30" s="3">
        <f t="shared" si="1"/>
        <v>-108</v>
      </c>
      <c r="I30" s="21">
        <f t="shared" si="3"/>
        <v>31.642597402597403</v>
      </c>
      <c r="J30" s="17"/>
    </row>
    <row r="31" spans="1:10" ht="13.5">
      <c r="A31" s="1">
        <v>4</v>
      </c>
      <c r="B31" s="2" t="s">
        <v>28</v>
      </c>
      <c r="C31" s="3">
        <v>1018</v>
      </c>
      <c r="D31" s="3">
        <v>8</v>
      </c>
      <c r="E31" s="3">
        <v>31</v>
      </c>
      <c r="F31" s="3">
        <f t="shared" si="0"/>
        <v>979</v>
      </c>
      <c r="G31" s="3">
        <v>1318</v>
      </c>
      <c r="H31" s="3">
        <f t="shared" si="1"/>
        <v>-339</v>
      </c>
      <c r="I31" s="21">
        <f t="shared" si="3"/>
        <v>99.3225974025974</v>
      </c>
      <c r="J31" s="17"/>
    </row>
    <row r="32" spans="1:10" ht="13.5">
      <c r="A32" s="1">
        <v>5</v>
      </c>
      <c r="B32" s="2" t="s">
        <v>29</v>
      </c>
      <c r="C32" s="3">
        <v>725</v>
      </c>
      <c r="D32" s="3">
        <v>3</v>
      </c>
      <c r="E32" s="3">
        <v>4</v>
      </c>
      <c r="F32" s="3">
        <f t="shared" si="0"/>
        <v>718</v>
      </c>
      <c r="G32" s="3">
        <v>757</v>
      </c>
      <c r="H32" s="3">
        <f t="shared" si="1"/>
        <v>-39</v>
      </c>
      <c r="I32" s="21">
        <f t="shared" si="3"/>
        <v>11.426493506493506</v>
      </c>
      <c r="J32" s="17"/>
    </row>
    <row r="33" spans="1:10" ht="13.5">
      <c r="A33" s="1">
        <v>6</v>
      </c>
      <c r="B33" s="2" t="s">
        <v>30</v>
      </c>
      <c r="C33" s="3">
        <v>1029</v>
      </c>
      <c r="D33" s="3">
        <v>6</v>
      </c>
      <c r="E33" s="3">
        <v>6</v>
      </c>
      <c r="F33" s="3">
        <f t="shared" si="0"/>
        <v>1017</v>
      </c>
      <c r="G33" s="3">
        <v>930</v>
      </c>
      <c r="H33" s="3">
        <v>0</v>
      </c>
      <c r="I33" s="21">
        <f t="shared" si="3"/>
        <v>0</v>
      </c>
      <c r="J33" s="17">
        <f>F33-G33</f>
        <v>87</v>
      </c>
    </row>
    <row r="34" spans="1:10" ht="13.5">
      <c r="A34" s="1">
        <v>7</v>
      </c>
      <c r="B34" s="2" t="s">
        <v>31</v>
      </c>
      <c r="C34" s="3">
        <v>1561</v>
      </c>
      <c r="D34" s="3">
        <v>5</v>
      </c>
      <c r="E34" s="3">
        <v>23</v>
      </c>
      <c r="F34" s="3">
        <f t="shared" si="0"/>
        <v>1533</v>
      </c>
      <c r="G34" s="3">
        <v>1519</v>
      </c>
      <c r="H34" s="3">
        <v>0</v>
      </c>
      <c r="I34" s="21">
        <f t="shared" si="3"/>
        <v>0</v>
      </c>
      <c r="J34" s="17">
        <f>F34-G34</f>
        <v>14</v>
      </c>
    </row>
    <row r="35" spans="1:10" ht="13.5">
      <c r="A35" s="1">
        <v>8</v>
      </c>
      <c r="B35" s="2" t="s">
        <v>32</v>
      </c>
      <c r="C35" s="3">
        <v>547</v>
      </c>
      <c r="D35" s="3">
        <v>4</v>
      </c>
      <c r="E35" s="3">
        <v>8</v>
      </c>
      <c r="F35" s="3">
        <f t="shared" si="0"/>
        <v>535</v>
      </c>
      <c r="G35" s="3">
        <v>633</v>
      </c>
      <c r="H35" s="3">
        <f t="shared" si="1"/>
        <v>-98</v>
      </c>
      <c r="I35" s="21">
        <f t="shared" si="3"/>
        <v>28.712727272727275</v>
      </c>
      <c r="J35" s="17"/>
    </row>
    <row r="36" spans="1:10" ht="13.5">
      <c r="A36" s="1">
        <v>9</v>
      </c>
      <c r="B36" s="2" t="s">
        <v>33</v>
      </c>
      <c r="C36" s="3">
        <v>1022</v>
      </c>
      <c r="D36" s="3">
        <v>3</v>
      </c>
      <c r="E36" s="3">
        <v>13</v>
      </c>
      <c r="F36" s="3">
        <f t="shared" si="0"/>
        <v>1006</v>
      </c>
      <c r="G36" s="3">
        <v>1018</v>
      </c>
      <c r="H36" s="3">
        <f t="shared" si="1"/>
        <v>-12</v>
      </c>
      <c r="I36" s="21">
        <f t="shared" si="3"/>
        <v>3.5158441558441558</v>
      </c>
      <c r="J36" s="17"/>
    </row>
    <row r="37" spans="1:10" ht="13.5">
      <c r="A37" s="1">
        <v>10</v>
      </c>
      <c r="B37" s="2" t="s">
        <v>34</v>
      </c>
      <c r="C37" s="3">
        <v>2463</v>
      </c>
      <c r="D37" s="3">
        <v>10</v>
      </c>
      <c r="E37" s="3">
        <v>30</v>
      </c>
      <c r="F37" s="3">
        <f t="shared" si="0"/>
        <v>2423</v>
      </c>
      <c r="G37" s="3">
        <v>2216</v>
      </c>
      <c r="H37" s="3">
        <v>0</v>
      </c>
      <c r="I37" s="21">
        <f t="shared" si="3"/>
        <v>0</v>
      </c>
      <c r="J37" s="17">
        <f>F37-G37</f>
        <v>207</v>
      </c>
    </row>
    <row r="38" spans="1:10" ht="13.5">
      <c r="A38" s="1">
        <v>11</v>
      </c>
      <c r="B38" s="2" t="s">
        <v>35</v>
      </c>
      <c r="C38" s="3">
        <v>1095</v>
      </c>
      <c r="D38" s="3">
        <v>4</v>
      </c>
      <c r="E38" s="3">
        <v>7</v>
      </c>
      <c r="F38" s="3">
        <f t="shared" si="0"/>
        <v>1084</v>
      </c>
      <c r="G38" s="3">
        <v>1014</v>
      </c>
      <c r="H38" s="3">
        <v>0</v>
      </c>
      <c r="I38" s="21">
        <f t="shared" si="3"/>
        <v>0</v>
      </c>
      <c r="J38" s="17">
        <f>F38-G38</f>
        <v>70</v>
      </c>
    </row>
    <row r="39" spans="1:10" ht="13.5">
      <c r="A39" s="1">
        <v>12</v>
      </c>
      <c r="B39" s="2" t="s">
        <v>36</v>
      </c>
      <c r="C39" s="3">
        <v>706</v>
      </c>
      <c r="D39" s="3">
        <v>7</v>
      </c>
      <c r="E39" s="3">
        <v>20</v>
      </c>
      <c r="F39" s="3">
        <f t="shared" si="0"/>
        <v>679</v>
      </c>
      <c r="G39" s="3">
        <v>884</v>
      </c>
      <c r="H39" s="3">
        <f t="shared" si="1"/>
        <v>-205</v>
      </c>
      <c r="I39" s="21">
        <f t="shared" si="3"/>
        <v>60.06233766233766</v>
      </c>
      <c r="J39" s="17"/>
    </row>
    <row r="40" spans="1:10" ht="13.5">
      <c r="A40" s="1">
        <v>13</v>
      </c>
      <c r="B40" s="2" t="s">
        <v>37</v>
      </c>
      <c r="C40" s="3">
        <v>511</v>
      </c>
      <c r="D40" s="3">
        <v>3</v>
      </c>
      <c r="E40" s="3">
        <v>6</v>
      </c>
      <c r="F40" s="3">
        <f t="shared" si="0"/>
        <v>502</v>
      </c>
      <c r="G40" s="3">
        <v>703</v>
      </c>
      <c r="H40" s="3">
        <f t="shared" si="1"/>
        <v>-201</v>
      </c>
      <c r="I40" s="21">
        <f t="shared" si="3"/>
        <v>58.89038961038961</v>
      </c>
      <c r="J40" s="17"/>
    </row>
    <row r="41" spans="1:10" ht="13.5">
      <c r="A41" s="1">
        <v>14</v>
      </c>
      <c r="B41" s="2" t="s">
        <v>38</v>
      </c>
      <c r="C41" s="3">
        <v>148</v>
      </c>
      <c r="D41" s="3">
        <v>1</v>
      </c>
      <c r="E41" s="3">
        <v>4</v>
      </c>
      <c r="F41" s="3">
        <f t="shared" si="0"/>
        <v>143</v>
      </c>
      <c r="G41" s="3">
        <v>180</v>
      </c>
      <c r="H41" s="3">
        <f t="shared" si="1"/>
        <v>-37</v>
      </c>
      <c r="I41" s="21">
        <f t="shared" si="3"/>
        <v>10.84051948051948</v>
      </c>
      <c r="J41" s="17"/>
    </row>
    <row r="42" spans="1:10" ht="13.5">
      <c r="A42" s="1">
        <v>15</v>
      </c>
      <c r="B42" s="2" t="s">
        <v>39</v>
      </c>
      <c r="C42" s="3">
        <v>178</v>
      </c>
      <c r="D42" s="3"/>
      <c r="E42" s="3">
        <v>3</v>
      </c>
      <c r="F42" s="3">
        <f t="shared" si="0"/>
        <v>175</v>
      </c>
      <c r="G42" s="3">
        <v>216</v>
      </c>
      <c r="H42" s="3">
        <f t="shared" si="1"/>
        <v>-41</v>
      </c>
      <c r="I42" s="21">
        <f t="shared" si="3"/>
        <v>12.012467532467532</v>
      </c>
      <c r="J42" s="17"/>
    </row>
    <row r="43" spans="1:10" ht="13.5">
      <c r="A43" s="1">
        <v>16</v>
      </c>
      <c r="B43" s="2" t="s">
        <v>40</v>
      </c>
      <c r="C43" s="3">
        <v>764</v>
      </c>
      <c r="D43" s="3">
        <v>3</v>
      </c>
      <c r="E43" s="3">
        <v>15</v>
      </c>
      <c r="F43" s="3">
        <f t="shared" si="0"/>
        <v>746</v>
      </c>
      <c r="G43" s="3">
        <v>631</v>
      </c>
      <c r="H43" s="3">
        <v>0</v>
      </c>
      <c r="I43" s="21">
        <f t="shared" si="3"/>
        <v>0</v>
      </c>
      <c r="J43" s="17">
        <f>F43-G43</f>
        <v>115</v>
      </c>
    </row>
    <row r="44" spans="1:10" ht="13.5">
      <c r="A44" s="1">
        <v>17</v>
      </c>
      <c r="B44" s="2" t="s">
        <v>41</v>
      </c>
      <c r="C44" s="3">
        <v>358</v>
      </c>
      <c r="D44" s="3">
        <v>3</v>
      </c>
      <c r="E44" s="3">
        <v>7</v>
      </c>
      <c r="F44" s="3">
        <f t="shared" si="0"/>
        <v>348</v>
      </c>
      <c r="G44" s="3">
        <v>294</v>
      </c>
      <c r="H44" s="3">
        <v>0</v>
      </c>
      <c r="I44" s="21">
        <f t="shared" si="3"/>
        <v>0</v>
      </c>
      <c r="J44" s="17">
        <f>F44-G44</f>
        <v>54</v>
      </c>
    </row>
    <row r="45" spans="1:10" ht="13.5">
      <c r="A45" s="1">
        <v>18</v>
      </c>
      <c r="B45" s="2" t="s">
        <v>42</v>
      </c>
      <c r="C45" s="3">
        <v>2722</v>
      </c>
      <c r="D45" s="3">
        <v>11</v>
      </c>
      <c r="E45" s="3">
        <v>61</v>
      </c>
      <c r="F45" s="3">
        <f t="shared" si="0"/>
        <v>2650</v>
      </c>
      <c r="G45" s="3">
        <v>1999</v>
      </c>
      <c r="H45" s="3">
        <v>0</v>
      </c>
      <c r="I45" s="21">
        <f t="shared" si="3"/>
        <v>0</v>
      </c>
      <c r="J45" s="17">
        <f>F45-G45</f>
        <v>651</v>
      </c>
    </row>
    <row r="46" spans="1:10" ht="13.5">
      <c r="A46" s="1">
        <v>19</v>
      </c>
      <c r="B46" s="2" t="s">
        <v>43</v>
      </c>
      <c r="C46" s="3">
        <v>503</v>
      </c>
      <c r="D46" s="3">
        <v>5</v>
      </c>
      <c r="E46" s="3">
        <v>7</v>
      </c>
      <c r="F46" s="3">
        <f t="shared" si="0"/>
        <v>491</v>
      </c>
      <c r="G46" s="3">
        <v>365</v>
      </c>
      <c r="H46" s="3">
        <v>0</v>
      </c>
      <c r="I46" s="21">
        <f t="shared" si="3"/>
        <v>0</v>
      </c>
      <c r="J46" s="17">
        <f>F46-G46</f>
        <v>126</v>
      </c>
    </row>
    <row r="47" spans="1:10" ht="13.5">
      <c r="A47" s="1">
        <v>20</v>
      </c>
      <c r="B47" s="2" t="s">
        <v>44</v>
      </c>
      <c r="C47" s="3">
        <v>518</v>
      </c>
      <c r="D47" s="3">
        <v>3</v>
      </c>
      <c r="E47" s="3">
        <v>7</v>
      </c>
      <c r="F47" s="3">
        <f t="shared" si="0"/>
        <v>508</v>
      </c>
      <c r="G47" s="3">
        <v>508</v>
      </c>
      <c r="H47" s="3">
        <f t="shared" si="1"/>
        <v>0</v>
      </c>
      <c r="I47" s="21">
        <f t="shared" si="3"/>
        <v>0</v>
      </c>
      <c r="J47" s="17">
        <f>F47-G47</f>
        <v>0</v>
      </c>
    </row>
    <row r="48" spans="1:10" ht="13.5">
      <c r="A48" s="14" t="s">
        <v>450</v>
      </c>
      <c r="B48" s="15" t="s">
        <v>45</v>
      </c>
      <c r="C48" s="16">
        <f>SUM(C49:C64)</f>
        <v>11223</v>
      </c>
      <c r="D48" s="16">
        <f>SUM(D49:D64)</f>
        <v>44</v>
      </c>
      <c r="E48" s="16">
        <f>SUM(E49:E64)</f>
        <v>120</v>
      </c>
      <c r="F48" s="16">
        <f t="shared" si="0"/>
        <v>11059</v>
      </c>
      <c r="G48" s="16">
        <f>SUM(G49:G64)</f>
        <v>12708</v>
      </c>
      <c r="H48" s="16">
        <f>SUM(H49:H64)</f>
        <v>-1686</v>
      </c>
      <c r="I48" s="23">
        <f>H48/-45579*13363</f>
        <v>494.3069834792339</v>
      </c>
      <c r="J48" s="17"/>
    </row>
    <row r="49" spans="1:10" ht="13.5">
      <c r="A49" s="1">
        <v>1</v>
      </c>
      <c r="B49" s="2" t="s">
        <v>46</v>
      </c>
      <c r="C49" s="3">
        <v>1032</v>
      </c>
      <c r="D49" s="3">
        <v>2</v>
      </c>
      <c r="E49" s="3">
        <v>11</v>
      </c>
      <c r="F49" s="3">
        <f t="shared" si="0"/>
        <v>1019</v>
      </c>
      <c r="G49" s="3">
        <v>1245</v>
      </c>
      <c r="H49" s="3">
        <f t="shared" si="1"/>
        <v>-226</v>
      </c>
      <c r="I49" s="21">
        <f>H49/1686*-494</f>
        <v>66.21826809015421</v>
      </c>
      <c r="J49" s="17"/>
    </row>
    <row r="50" spans="1:10" ht="13.5">
      <c r="A50" s="1">
        <v>2</v>
      </c>
      <c r="B50" s="2" t="s">
        <v>47</v>
      </c>
      <c r="C50" s="3">
        <v>992</v>
      </c>
      <c r="D50" s="3">
        <v>1</v>
      </c>
      <c r="E50" s="3">
        <v>6</v>
      </c>
      <c r="F50" s="3">
        <f t="shared" si="0"/>
        <v>985</v>
      </c>
      <c r="G50" s="3">
        <v>1132</v>
      </c>
      <c r="H50" s="3">
        <f t="shared" si="1"/>
        <v>-147</v>
      </c>
      <c r="I50" s="21">
        <f aca="true" t="shared" si="4" ref="I50:I64">H50/1686*-494</f>
        <v>43.071174377224196</v>
      </c>
      <c r="J50" s="17"/>
    </row>
    <row r="51" spans="1:10" ht="13.5">
      <c r="A51" s="1">
        <v>3</v>
      </c>
      <c r="B51" s="2" t="s">
        <v>48</v>
      </c>
      <c r="C51" s="3">
        <v>602</v>
      </c>
      <c r="D51" s="3">
        <v>1</v>
      </c>
      <c r="E51" s="3">
        <v>1</v>
      </c>
      <c r="F51" s="3">
        <f t="shared" si="0"/>
        <v>600</v>
      </c>
      <c r="G51" s="3">
        <v>728</v>
      </c>
      <c r="H51" s="3">
        <f t="shared" si="1"/>
        <v>-128</v>
      </c>
      <c r="I51" s="21">
        <f t="shared" si="4"/>
        <v>37.50415183867141</v>
      </c>
      <c r="J51" s="17"/>
    </row>
    <row r="52" spans="1:10" ht="13.5">
      <c r="A52" s="1">
        <v>4</v>
      </c>
      <c r="B52" s="2" t="s">
        <v>49</v>
      </c>
      <c r="C52" s="3">
        <v>1016</v>
      </c>
      <c r="D52" s="3">
        <v>3</v>
      </c>
      <c r="E52" s="3">
        <v>9</v>
      </c>
      <c r="F52" s="3">
        <f t="shared" si="0"/>
        <v>1004</v>
      </c>
      <c r="G52" s="3">
        <v>1027</v>
      </c>
      <c r="H52" s="3">
        <f t="shared" si="1"/>
        <v>-23</v>
      </c>
      <c r="I52" s="21">
        <f t="shared" si="4"/>
        <v>6.739027283511269</v>
      </c>
      <c r="J52" s="17"/>
    </row>
    <row r="53" spans="1:10" ht="13.5">
      <c r="A53" s="1">
        <v>5</v>
      </c>
      <c r="B53" s="2" t="s">
        <v>50</v>
      </c>
      <c r="C53" s="3">
        <v>1111</v>
      </c>
      <c r="D53" s="3">
        <v>2</v>
      </c>
      <c r="E53" s="3">
        <v>14</v>
      </c>
      <c r="F53" s="3">
        <f t="shared" si="0"/>
        <v>1095</v>
      </c>
      <c r="G53" s="3">
        <v>1150</v>
      </c>
      <c r="H53" s="3">
        <f t="shared" si="1"/>
        <v>-55</v>
      </c>
      <c r="I53" s="21">
        <f t="shared" si="4"/>
        <v>16.11506524317912</v>
      </c>
      <c r="J53" s="17"/>
    </row>
    <row r="54" spans="1:10" ht="13.5">
      <c r="A54" s="1">
        <v>6</v>
      </c>
      <c r="B54" s="2" t="s">
        <v>51</v>
      </c>
      <c r="C54" s="3">
        <v>1268</v>
      </c>
      <c r="D54" s="3">
        <v>12</v>
      </c>
      <c r="E54" s="3">
        <v>20</v>
      </c>
      <c r="F54" s="3">
        <f t="shared" si="0"/>
        <v>1236</v>
      </c>
      <c r="G54" s="3">
        <v>1276</v>
      </c>
      <c r="H54" s="3">
        <f t="shared" si="1"/>
        <v>-40</v>
      </c>
      <c r="I54" s="21">
        <f t="shared" si="4"/>
        <v>11.720047449584817</v>
      </c>
      <c r="J54" s="17"/>
    </row>
    <row r="55" spans="1:10" ht="13.5">
      <c r="A55" s="1">
        <v>7</v>
      </c>
      <c r="B55" s="2" t="s">
        <v>52</v>
      </c>
      <c r="C55" s="3">
        <v>831</v>
      </c>
      <c r="D55" s="3">
        <v>1</v>
      </c>
      <c r="E55" s="3">
        <v>6</v>
      </c>
      <c r="F55" s="3">
        <f t="shared" si="0"/>
        <v>824</v>
      </c>
      <c r="G55" s="3">
        <v>914</v>
      </c>
      <c r="H55" s="3">
        <f t="shared" si="1"/>
        <v>-90</v>
      </c>
      <c r="I55" s="21">
        <f t="shared" si="4"/>
        <v>26.370106761565836</v>
      </c>
      <c r="J55" s="17"/>
    </row>
    <row r="56" spans="1:10" ht="13.5">
      <c r="A56" s="1">
        <v>8</v>
      </c>
      <c r="B56" s="2" t="s">
        <v>53</v>
      </c>
      <c r="C56" s="3">
        <v>868</v>
      </c>
      <c r="D56" s="3">
        <v>6</v>
      </c>
      <c r="E56" s="3">
        <v>5</v>
      </c>
      <c r="F56" s="3">
        <f t="shared" si="0"/>
        <v>857</v>
      </c>
      <c r="G56" s="3">
        <v>986</v>
      </c>
      <c r="H56" s="3">
        <f t="shared" si="1"/>
        <v>-129</v>
      </c>
      <c r="I56" s="21">
        <f t="shared" si="4"/>
        <v>37.79715302491103</v>
      </c>
      <c r="J56" s="17"/>
    </row>
    <row r="57" spans="1:10" ht="13.5">
      <c r="A57" s="1">
        <v>9</v>
      </c>
      <c r="B57" s="2" t="s">
        <v>54</v>
      </c>
      <c r="C57" s="3">
        <v>70</v>
      </c>
      <c r="D57" s="3"/>
      <c r="E57" s="3"/>
      <c r="F57" s="3">
        <f t="shared" si="0"/>
        <v>70</v>
      </c>
      <c r="G57" s="3">
        <v>103</v>
      </c>
      <c r="H57" s="3">
        <f t="shared" si="1"/>
        <v>-33</v>
      </c>
      <c r="I57" s="21">
        <f t="shared" si="4"/>
        <v>9.669039145907472</v>
      </c>
      <c r="J57" s="17"/>
    </row>
    <row r="58" spans="1:10" ht="13.5">
      <c r="A58" s="1">
        <v>10</v>
      </c>
      <c r="B58" s="2" t="s">
        <v>55</v>
      </c>
      <c r="C58" s="3">
        <v>1991</v>
      </c>
      <c r="D58" s="3">
        <v>11</v>
      </c>
      <c r="E58" s="3">
        <v>32</v>
      </c>
      <c r="F58" s="3">
        <f t="shared" si="0"/>
        <v>1948</v>
      </c>
      <c r="G58" s="3">
        <v>2564</v>
      </c>
      <c r="H58" s="3">
        <f t="shared" si="1"/>
        <v>-616</v>
      </c>
      <c r="I58" s="21">
        <f t="shared" si="4"/>
        <v>180.48873072360615</v>
      </c>
      <c r="J58" s="17"/>
    </row>
    <row r="59" spans="1:10" ht="13.5">
      <c r="A59" s="1">
        <v>11</v>
      </c>
      <c r="B59" s="2" t="s">
        <v>56</v>
      </c>
      <c r="C59" s="3">
        <v>186</v>
      </c>
      <c r="D59" s="3"/>
      <c r="E59" s="3">
        <v>2</v>
      </c>
      <c r="F59" s="3">
        <f t="shared" si="0"/>
        <v>184</v>
      </c>
      <c r="G59" s="3">
        <v>232</v>
      </c>
      <c r="H59" s="3">
        <f t="shared" si="1"/>
        <v>-48</v>
      </c>
      <c r="I59" s="21">
        <f t="shared" si="4"/>
        <v>14.064056939501778</v>
      </c>
      <c r="J59" s="17"/>
    </row>
    <row r="60" spans="1:10" ht="13.5">
      <c r="A60" s="1">
        <v>12</v>
      </c>
      <c r="B60" s="2" t="s">
        <v>57</v>
      </c>
      <c r="C60" s="3">
        <v>158</v>
      </c>
      <c r="D60" s="3"/>
      <c r="E60" s="3">
        <v>3</v>
      </c>
      <c r="F60" s="3">
        <f t="shared" si="0"/>
        <v>155</v>
      </c>
      <c r="G60" s="3">
        <v>222</v>
      </c>
      <c r="H60" s="3">
        <f t="shared" si="1"/>
        <v>-67</v>
      </c>
      <c r="I60" s="21">
        <f t="shared" si="4"/>
        <v>19.631079478054566</v>
      </c>
      <c r="J60" s="17"/>
    </row>
    <row r="61" spans="1:10" ht="13.5">
      <c r="A61" s="1">
        <v>13</v>
      </c>
      <c r="B61" s="2" t="s">
        <v>58</v>
      </c>
      <c r="C61" s="3">
        <v>190</v>
      </c>
      <c r="D61" s="3"/>
      <c r="E61" s="3">
        <v>5</v>
      </c>
      <c r="F61" s="3">
        <f t="shared" si="0"/>
        <v>185</v>
      </c>
      <c r="G61" s="3">
        <v>148</v>
      </c>
      <c r="H61" s="3">
        <v>0</v>
      </c>
      <c r="I61" s="21">
        <f t="shared" si="4"/>
        <v>0</v>
      </c>
      <c r="J61" s="17">
        <f>F61-G61</f>
        <v>37</v>
      </c>
    </row>
    <row r="62" spans="1:10" ht="13.5">
      <c r="A62" s="1">
        <v>14</v>
      </c>
      <c r="B62" s="2" t="s">
        <v>59</v>
      </c>
      <c r="C62" s="3">
        <v>283</v>
      </c>
      <c r="D62" s="3">
        <v>3</v>
      </c>
      <c r="E62" s="3">
        <v>5</v>
      </c>
      <c r="F62" s="3">
        <f t="shared" si="0"/>
        <v>275</v>
      </c>
      <c r="G62" s="3">
        <v>308</v>
      </c>
      <c r="H62" s="3">
        <f t="shared" si="1"/>
        <v>-33</v>
      </c>
      <c r="I62" s="21">
        <f t="shared" si="4"/>
        <v>9.669039145907472</v>
      </c>
      <c r="J62" s="17"/>
    </row>
    <row r="63" spans="1:10" ht="13.5">
      <c r="A63" s="1">
        <v>15</v>
      </c>
      <c r="B63" s="2" t="s">
        <v>60</v>
      </c>
      <c r="C63" s="3">
        <v>311</v>
      </c>
      <c r="D63" s="3">
        <v>2</v>
      </c>
      <c r="E63" s="3"/>
      <c r="F63" s="3">
        <f t="shared" si="0"/>
        <v>309</v>
      </c>
      <c r="G63" s="3">
        <v>360</v>
      </c>
      <c r="H63" s="3">
        <f t="shared" si="1"/>
        <v>-51</v>
      </c>
      <c r="I63" s="21">
        <f t="shared" si="4"/>
        <v>14.94306049822064</v>
      </c>
      <c r="J63" s="17"/>
    </row>
    <row r="64" spans="1:10" ht="13.5">
      <c r="A64" s="1">
        <v>16</v>
      </c>
      <c r="B64" s="2" t="s">
        <v>61</v>
      </c>
      <c r="C64" s="3">
        <v>314</v>
      </c>
      <c r="D64" s="3"/>
      <c r="E64" s="3">
        <v>1</v>
      </c>
      <c r="F64" s="3">
        <f t="shared" si="0"/>
        <v>313</v>
      </c>
      <c r="G64" s="3">
        <v>313</v>
      </c>
      <c r="H64" s="3">
        <f t="shared" si="1"/>
        <v>0</v>
      </c>
      <c r="I64" s="21">
        <f t="shared" si="4"/>
        <v>0</v>
      </c>
      <c r="J64" s="17"/>
    </row>
    <row r="65" spans="1:10" ht="13.5">
      <c r="A65" s="14" t="s">
        <v>451</v>
      </c>
      <c r="B65" s="15" t="s">
        <v>62</v>
      </c>
      <c r="C65" s="16">
        <f>SUM(C66:C76)</f>
        <v>5318</v>
      </c>
      <c r="D65" s="16">
        <f>SUM(D66:D76)</f>
        <v>10</v>
      </c>
      <c r="E65" s="16">
        <f>SUM(E66:E76)</f>
        <v>37</v>
      </c>
      <c r="F65" s="16">
        <f t="shared" si="0"/>
        <v>5271</v>
      </c>
      <c r="G65" s="16">
        <f>SUM(G66:G76)</f>
        <v>5332</v>
      </c>
      <c r="H65" s="16">
        <f>SUM(H66:H76)</f>
        <v>-717</v>
      </c>
      <c r="I65" s="23">
        <f>H65/-45579*13363</f>
        <v>210.21240044757454</v>
      </c>
      <c r="J65" s="17"/>
    </row>
    <row r="66" spans="1:10" ht="13.5">
      <c r="A66" s="1">
        <v>1</v>
      </c>
      <c r="B66" s="2" t="s">
        <v>63</v>
      </c>
      <c r="C66" s="3">
        <v>447</v>
      </c>
      <c r="D66" s="3">
        <v>1</v>
      </c>
      <c r="E66" s="3">
        <v>3</v>
      </c>
      <c r="F66" s="3">
        <f t="shared" si="0"/>
        <v>443</v>
      </c>
      <c r="G66" s="3">
        <v>591</v>
      </c>
      <c r="H66" s="3">
        <f t="shared" si="1"/>
        <v>-148</v>
      </c>
      <c r="I66" s="21">
        <f>H66/-717*210</f>
        <v>43.34728033472803</v>
      </c>
      <c r="J66" s="17"/>
    </row>
    <row r="67" spans="1:10" ht="13.5">
      <c r="A67" s="1">
        <v>2</v>
      </c>
      <c r="B67" s="2" t="s">
        <v>64</v>
      </c>
      <c r="C67" s="3">
        <v>396</v>
      </c>
      <c r="D67" s="3">
        <v>1</v>
      </c>
      <c r="E67" s="3"/>
      <c r="F67" s="3">
        <f t="shared" si="0"/>
        <v>395</v>
      </c>
      <c r="G67" s="3">
        <v>482</v>
      </c>
      <c r="H67" s="3">
        <f t="shared" si="1"/>
        <v>-87</v>
      </c>
      <c r="I67" s="21">
        <f aca="true" t="shared" si="5" ref="I67:I76">H67/-717*210</f>
        <v>25.481171548117153</v>
      </c>
      <c r="J67" s="17"/>
    </row>
    <row r="68" spans="1:10" ht="13.5">
      <c r="A68" s="1">
        <v>3</v>
      </c>
      <c r="B68" s="2" t="s">
        <v>65</v>
      </c>
      <c r="C68" s="3">
        <v>801</v>
      </c>
      <c r="D68" s="3"/>
      <c r="E68" s="3">
        <v>7</v>
      </c>
      <c r="F68" s="3">
        <f t="shared" si="0"/>
        <v>794</v>
      </c>
      <c r="G68" s="3">
        <v>547</v>
      </c>
      <c r="H68" s="3">
        <v>0</v>
      </c>
      <c r="I68" s="21">
        <f t="shared" si="5"/>
        <v>0</v>
      </c>
      <c r="J68" s="17">
        <f>F68-G68</f>
        <v>247</v>
      </c>
    </row>
    <row r="69" spans="1:10" ht="13.5">
      <c r="A69" s="1">
        <v>4</v>
      </c>
      <c r="B69" s="2" t="s">
        <v>66</v>
      </c>
      <c r="C69" s="3">
        <v>682</v>
      </c>
      <c r="D69" s="3"/>
      <c r="E69" s="3">
        <v>5</v>
      </c>
      <c r="F69" s="3">
        <f t="shared" si="0"/>
        <v>677</v>
      </c>
      <c r="G69" s="3">
        <v>648</v>
      </c>
      <c r="H69" s="3">
        <v>0</v>
      </c>
      <c r="I69" s="21">
        <f t="shared" si="5"/>
        <v>0</v>
      </c>
      <c r="J69" s="17">
        <f>F69-G69</f>
        <v>29</v>
      </c>
    </row>
    <row r="70" spans="1:10" ht="13.5">
      <c r="A70" s="1">
        <v>5</v>
      </c>
      <c r="B70" s="2" t="s">
        <v>67</v>
      </c>
      <c r="C70" s="3">
        <v>108</v>
      </c>
      <c r="D70" s="3"/>
      <c r="E70" s="3">
        <v>1</v>
      </c>
      <c r="F70" s="3">
        <f t="shared" si="0"/>
        <v>107</v>
      </c>
      <c r="G70" s="3">
        <v>131</v>
      </c>
      <c r="H70" s="3">
        <f t="shared" si="1"/>
        <v>-24</v>
      </c>
      <c r="I70" s="21">
        <f t="shared" si="5"/>
        <v>7.02928870292887</v>
      </c>
      <c r="J70" s="17"/>
    </row>
    <row r="71" spans="1:10" ht="13.5">
      <c r="A71" s="1">
        <v>6</v>
      </c>
      <c r="B71" s="2" t="s">
        <v>68</v>
      </c>
      <c r="C71" s="3">
        <v>277</v>
      </c>
      <c r="D71" s="3">
        <v>1</v>
      </c>
      <c r="E71" s="3">
        <v>1</v>
      </c>
      <c r="F71" s="3">
        <f aca="true" t="shared" si="6" ref="F71:F137">C71-E71-D71</f>
        <v>275</v>
      </c>
      <c r="G71" s="3">
        <v>536</v>
      </c>
      <c r="H71" s="3">
        <f t="shared" si="1"/>
        <v>-261</v>
      </c>
      <c r="I71" s="21">
        <f t="shared" si="5"/>
        <v>76.44351464435147</v>
      </c>
      <c r="J71" s="17"/>
    </row>
    <row r="72" spans="1:10" ht="13.5">
      <c r="A72" s="1">
        <v>7</v>
      </c>
      <c r="B72" s="2" t="s">
        <v>69</v>
      </c>
      <c r="C72" s="3">
        <v>222</v>
      </c>
      <c r="D72" s="3"/>
      <c r="E72" s="3">
        <v>1</v>
      </c>
      <c r="F72" s="3">
        <f t="shared" si="6"/>
        <v>221</v>
      </c>
      <c r="G72" s="3">
        <v>235</v>
      </c>
      <c r="H72" s="3">
        <f aca="true" t="shared" si="7" ref="H72:H133">F72-G72</f>
        <v>-14</v>
      </c>
      <c r="I72" s="21">
        <f t="shared" si="5"/>
        <v>4.100418410041841</v>
      </c>
      <c r="J72" s="17"/>
    </row>
    <row r="73" spans="1:10" ht="13.5">
      <c r="A73" s="1">
        <v>8</v>
      </c>
      <c r="B73" s="2" t="s">
        <v>70</v>
      </c>
      <c r="C73" s="3">
        <v>184</v>
      </c>
      <c r="D73" s="3"/>
      <c r="E73" s="3"/>
      <c r="F73" s="3">
        <f t="shared" si="6"/>
        <v>184</v>
      </c>
      <c r="G73" s="3">
        <v>269</v>
      </c>
      <c r="H73" s="3">
        <f t="shared" si="7"/>
        <v>-85</v>
      </c>
      <c r="I73" s="21">
        <f t="shared" si="5"/>
        <v>24.89539748953975</v>
      </c>
      <c r="J73" s="17"/>
    </row>
    <row r="74" spans="1:10" ht="13.5">
      <c r="A74" s="1">
        <v>9</v>
      </c>
      <c r="B74" s="2" t="s">
        <v>71</v>
      </c>
      <c r="C74" s="3">
        <v>545</v>
      </c>
      <c r="D74" s="3">
        <v>1</v>
      </c>
      <c r="E74" s="3">
        <v>3</v>
      </c>
      <c r="F74" s="3">
        <f t="shared" si="6"/>
        <v>541</v>
      </c>
      <c r="G74" s="3">
        <v>639</v>
      </c>
      <c r="H74" s="3">
        <f t="shared" si="7"/>
        <v>-98</v>
      </c>
      <c r="I74" s="21">
        <f t="shared" si="5"/>
        <v>28.702928870292887</v>
      </c>
      <c r="J74" s="17"/>
    </row>
    <row r="75" spans="1:10" ht="13.5">
      <c r="A75" s="1">
        <v>10</v>
      </c>
      <c r="B75" s="2" t="s">
        <v>72</v>
      </c>
      <c r="C75" s="3">
        <v>1382</v>
      </c>
      <c r="D75" s="3">
        <v>6</v>
      </c>
      <c r="E75" s="3">
        <v>15</v>
      </c>
      <c r="F75" s="3">
        <f t="shared" si="6"/>
        <v>1361</v>
      </c>
      <c r="G75" s="3">
        <v>1023</v>
      </c>
      <c r="H75" s="3">
        <v>0</v>
      </c>
      <c r="I75" s="21">
        <f t="shared" si="5"/>
        <v>0</v>
      </c>
      <c r="J75" s="17">
        <f>F75-G75</f>
        <v>338</v>
      </c>
    </row>
    <row r="76" spans="1:10" ht="13.5">
      <c r="A76" s="1">
        <v>11</v>
      </c>
      <c r="B76" s="2" t="s">
        <v>73</v>
      </c>
      <c r="C76" s="3">
        <v>274</v>
      </c>
      <c r="D76" s="3"/>
      <c r="E76" s="3">
        <v>1</v>
      </c>
      <c r="F76" s="3">
        <f t="shared" si="6"/>
        <v>273</v>
      </c>
      <c r="G76" s="3">
        <v>231</v>
      </c>
      <c r="H76" s="3">
        <v>0</v>
      </c>
      <c r="I76" s="21">
        <f t="shared" si="5"/>
        <v>0</v>
      </c>
      <c r="J76" s="17">
        <f>F76-G76</f>
        <v>42</v>
      </c>
    </row>
    <row r="77" spans="1:10" ht="13.5">
      <c r="A77" s="14" t="s">
        <v>452</v>
      </c>
      <c r="B77" s="15" t="s">
        <v>74</v>
      </c>
      <c r="C77" s="16">
        <f>SUM(C78:C87)</f>
        <v>4101</v>
      </c>
      <c r="D77" s="16">
        <f>SUM(D78:D87)</f>
        <v>14</v>
      </c>
      <c r="E77" s="16">
        <f>SUM(E78:E87)</f>
        <v>26</v>
      </c>
      <c r="F77" s="16">
        <f t="shared" si="6"/>
        <v>4061</v>
      </c>
      <c r="G77" s="16">
        <f>SUM(G78:G87)</f>
        <v>4219</v>
      </c>
      <c r="H77" s="16">
        <f>SUM(H78:H87)</f>
        <v>-902</v>
      </c>
      <c r="I77" s="23">
        <f>H77/-45579*13363</f>
        <v>264.4513043287479</v>
      </c>
      <c r="J77" s="17"/>
    </row>
    <row r="78" spans="1:10" ht="13.5">
      <c r="A78" s="1">
        <v>1</v>
      </c>
      <c r="B78" s="2" t="s">
        <v>75</v>
      </c>
      <c r="C78" s="3">
        <v>1079</v>
      </c>
      <c r="D78" s="3">
        <v>7</v>
      </c>
      <c r="E78" s="3">
        <v>10</v>
      </c>
      <c r="F78" s="3">
        <f t="shared" si="6"/>
        <v>1062</v>
      </c>
      <c r="G78" s="3">
        <v>955</v>
      </c>
      <c r="H78" s="3">
        <v>0</v>
      </c>
      <c r="I78" s="21">
        <f>H78/-902*264</f>
        <v>0</v>
      </c>
      <c r="J78" s="17">
        <f>F78-G78</f>
        <v>107</v>
      </c>
    </row>
    <row r="79" spans="1:10" ht="13.5">
      <c r="A79" s="1">
        <v>2</v>
      </c>
      <c r="B79" s="2" t="s">
        <v>76</v>
      </c>
      <c r="C79" s="3">
        <v>409</v>
      </c>
      <c r="D79" s="3">
        <v>1</v>
      </c>
      <c r="E79" s="3">
        <v>4</v>
      </c>
      <c r="F79" s="3">
        <f t="shared" si="6"/>
        <v>404</v>
      </c>
      <c r="G79" s="3">
        <v>759</v>
      </c>
      <c r="H79" s="3">
        <f t="shared" si="7"/>
        <v>-355</v>
      </c>
      <c r="I79" s="21">
        <f aca="true" t="shared" si="8" ref="I79:I87">H79/-902*264</f>
        <v>103.90243902439025</v>
      </c>
      <c r="J79" s="17"/>
    </row>
    <row r="80" spans="1:10" ht="13.5">
      <c r="A80" s="1">
        <v>3</v>
      </c>
      <c r="B80" s="2" t="s">
        <v>77</v>
      </c>
      <c r="C80" s="3">
        <v>186</v>
      </c>
      <c r="D80" s="3"/>
      <c r="E80" s="3"/>
      <c r="F80" s="3">
        <f t="shared" si="6"/>
        <v>186</v>
      </c>
      <c r="G80" s="3">
        <v>224</v>
      </c>
      <c r="H80" s="3">
        <f t="shared" si="7"/>
        <v>-38</v>
      </c>
      <c r="I80" s="21">
        <f t="shared" si="8"/>
        <v>11.121951219512196</v>
      </c>
      <c r="J80" s="17"/>
    </row>
    <row r="81" spans="1:10" ht="13.5">
      <c r="A81" s="1">
        <v>4</v>
      </c>
      <c r="B81" s="2" t="s">
        <v>78</v>
      </c>
      <c r="C81" s="3">
        <v>260</v>
      </c>
      <c r="D81" s="3">
        <v>1</v>
      </c>
      <c r="E81" s="3">
        <v>1</v>
      </c>
      <c r="F81" s="3">
        <f t="shared" si="6"/>
        <v>258</v>
      </c>
      <c r="G81" s="3">
        <v>518</v>
      </c>
      <c r="H81" s="3">
        <f t="shared" si="7"/>
        <v>-260</v>
      </c>
      <c r="I81" s="21">
        <f t="shared" si="8"/>
        <v>76.09756097560977</v>
      </c>
      <c r="J81" s="17"/>
    </row>
    <row r="82" spans="1:10" ht="13.5">
      <c r="A82" s="1">
        <v>5</v>
      </c>
      <c r="B82" s="2" t="s">
        <v>79</v>
      </c>
      <c r="C82" s="3">
        <v>253</v>
      </c>
      <c r="D82" s="3"/>
      <c r="E82" s="3"/>
      <c r="F82" s="3">
        <f t="shared" si="6"/>
        <v>253</v>
      </c>
      <c r="G82" s="3">
        <v>137</v>
      </c>
      <c r="H82" s="3">
        <v>0</v>
      </c>
      <c r="I82" s="21">
        <f t="shared" si="8"/>
        <v>0</v>
      </c>
      <c r="J82" s="17">
        <f>F82-G82</f>
        <v>116</v>
      </c>
    </row>
    <row r="83" spans="1:10" ht="13.5">
      <c r="A83" s="1">
        <v>6</v>
      </c>
      <c r="B83" s="2" t="s">
        <v>80</v>
      </c>
      <c r="C83" s="3">
        <v>358</v>
      </c>
      <c r="D83" s="3"/>
      <c r="E83" s="3">
        <v>3</v>
      </c>
      <c r="F83" s="3">
        <f t="shared" si="6"/>
        <v>355</v>
      </c>
      <c r="G83" s="3">
        <v>260</v>
      </c>
      <c r="H83" s="3">
        <v>0</v>
      </c>
      <c r="I83" s="21">
        <f t="shared" si="8"/>
        <v>0</v>
      </c>
      <c r="J83" s="17">
        <f>F83-G83</f>
        <v>95</v>
      </c>
    </row>
    <row r="84" spans="1:10" ht="13.5">
      <c r="A84" s="1">
        <v>7</v>
      </c>
      <c r="B84" s="2" t="s">
        <v>81</v>
      </c>
      <c r="C84" s="3">
        <v>147</v>
      </c>
      <c r="D84" s="3">
        <v>1</v>
      </c>
      <c r="E84" s="3"/>
      <c r="F84" s="3">
        <f t="shared" si="6"/>
        <v>146</v>
      </c>
      <c r="G84" s="3">
        <v>395</v>
      </c>
      <c r="H84" s="3">
        <f t="shared" si="7"/>
        <v>-249</v>
      </c>
      <c r="I84" s="21">
        <f t="shared" si="8"/>
        <v>72.8780487804878</v>
      </c>
      <c r="J84" s="17"/>
    </row>
    <row r="85" spans="1:10" ht="13.5">
      <c r="A85" s="1">
        <v>8</v>
      </c>
      <c r="B85" s="2" t="s">
        <v>82</v>
      </c>
      <c r="C85" s="3">
        <v>161</v>
      </c>
      <c r="D85" s="3"/>
      <c r="E85" s="3"/>
      <c r="F85" s="3">
        <f t="shared" si="6"/>
        <v>161</v>
      </c>
      <c r="G85" s="3">
        <v>87</v>
      </c>
      <c r="H85" s="3">
        <v>0</v>
      </c>
      <c r="I85" s="21">
        <f t="shared" si="8"/>
        <v>0</v>
      </c>
      <c r="J85" s="17">
        <f>F85-G85</f>
        <v>74</v>
      </c>
    </row>
    <row r="86" spans="1:10" ht="13.5">
      <c r="A86" s="1">
        <v>9</v>
      </c>
      <c r="B86" s="2" t="s">
        <v>83</v>
      </c>
      <c r="C86" s="3">
        <v>300</v>
      </c>
      <c r="D86" s="3"/>
      <c r="E86" s="3"/>
      <c r="F86" s="3">
        <f t="shared" si="6"/>
        <v>300</v>
      </c>
      <c r="G86" s="3">
        <v>248</v>
      </c>
      <c r="H86" s="3">
        <v>0</v>
      </c>
      <c r="I86" s="21">
        <f t="shared" si="8"/>
        <v>0</v>
      </c>
      <c r="J86" s="17">
        <f>F86-G86</f>
        <v>52</v>
      </c>
    </row>
    <row r="87" spans="1:10" ht="13.5">
      <c r="A87" s="1">
        <v>10</v>
      </c>
      <c r="B87" s="2" t="s">
        <v>84</v>
      </c>
      <c r="C87" s="3">
        <v>948</v>
      </c>
      <c r="D87" s="3">
        <v>4</v>
      </c>
      <c r="E87" s="3">
        <v>8</v>
      </c>
      <c r="F87" s="3">
        <f t="shared" si="6"/>
        <v>936</v>
      </c>
      <c r="G87" s="3">
        <v>636</v>
      </c>
      <c r="H87" s="3">
        <v>0</v>
      </c>
      <c r="I87" s="21">
        <f t="shared" si="8"/>
        <v>0</v>
      </c>
      <c r="J87" s="17">
        <f>F87-G87</f>
        <v>300</v>
      </c>
    </row>
    <row r="88" spans="1:10" ht="13.5">
      <c r="A88" s="14" t="s">
        <v>453</v>
      </c>
      <c r="B88" s="15" t="s">
        <v>85</v>
      </c>
      <c r="C88" s="16">
        <f>SUM(C89:C99)</f>
        <v>7455</v>
      </c>
      <c r="D88" s="16">
        <f>SUM(D89:D99)</f>
        <v>21</v>
      </c>
      <c r="E88" s="16">
        <f>SUM(E89:E99)</f>
        <v>34</v>
      </c>
      <c r="F88" s="16">
        <f t="shared" si="6"/>
        <v>7400</v>
      </c>
      <c r="G88" s="16">
        <f>SUM(G89:G99)</f>
        <v>10201</v>
      </c>
      <c r="H88" s="16">
        <f>SUM(H89:H99)</f>
        <v>-3163</v>
      </c>
      <c r="I88" s="23">
        <f>H88/-45579*13363</f>
        <v>927.338664735953</v>
      </c>
      <c r="J88" s="17"/>
    </row>
    <row r="89" spans="1:10" ht="13.5">
      <c r="A89" s="1">
        <v>1</v>
      </c>
      <c r="B89" s="2" t="s">
        <v>86</v>
      </c>
      <c r="C89" s="3">
        <v>1041</v>
      </c>
      <c r="D89" s="3">
        <v>1</v>
      </c>
      <c r="E89" s="3">
        <v>3</v>
      </c>
      <c r="F89" s="3">
        <f t="shared" si="6"/>
        <v>1037</v>
      </c>
      <c r="G89" s="3">
        <v>1227</v>
      </c>
      <c r="H89" s="3">
        <f t="shared" si="7"/>
        <v>-190</v>
      </c>
      <c r="I89" s="21">
        <f>H89/-3163*927</f>
        <v>55.68447676256718</v>
      </c>
      <c r="J89" s="17"/>
    </row>
    <row r="90" spans="1:10" ht="13.5">
      <c r="A90" s="1">
        <v>2</v>
      </c>
      <c r="B90" s="2" t="s">
        <v>87</v>
      </c>
      <c r="C90" s="3">
        <v>832</v>
      </c>
      <c r="D90" s="3">
        <v>2</v>
      </c>
      <c r="E90" s="3">
        <v>2</v>
      </c>
      <c r="F90" s="3">
        <f t="shared" si="6"/>
        <v>828</v>
      </c>
      <c r="G90" s="3">
        <v>1526</v>
      </c>
      <c r="H90" s="3">
        <f t="shared" si="7"/>
        <v>-698</v>
      </c>
      <c r="I90" s="21">
        <f>H90/-3163*927</f>
        <v>204.5671830540626</v>
      </c>
      <c r="J90" s="17"/>
    </row>
    <row r="91" spans="1:10" ht="13.5">
      <c r="A91" s="1">
        <v>3</v>
      </c>
      <c r="B91" s="2" t="s">
        <v>88</v>
      </c>
      <c r="C91" s="3">
        <v>582</v>
      </c>
      <c r="D91" s="3">
        <v>2</v>
      </c>
      <c r="E91" s="3">
        <v>5</v>
      </c>
      <c r="F91" s="3">
        <f t="shared" si="6"/>
        <v>575</v>
      </c>
      <c r="G91" s="3">
        <v>1415</v>
      </c>
      <c r="H91" s="3">
        <f t="shared" si="7"/>
        <v>-840</v>
      </c>
      <c r="I91" s="21">
        <f aca="true" t="shared" si="9" ref="I91:I99">H91/-3163*927</f>
        <v>246.1840025292444</v>
      </c>
      <c r="J91" s="17"/>
    </row>
    <row r="92" spans="1:10" ht="13.5">
      <c r="A92" s="1">
        <v>4</v>
      </c>
      <c r="B92" s="2" t="s">
        <v>89</v>
      </c>
      <c r="C92" s="3">
        <v>620</v>
      </c>
      <c r="D92" s="3">
        <v>2</v>
      </c>
      <c r="E92" s="3">
        <v>3</v>
      </c>
      <c r="F92" s="3">
        <f t="shared" si="6"/>
        <v>615</v>
      </c>
      <c r="G92" s="3">
        <v>1176</v>
      </c>
      <c r="H92" s="3">
        <f t="shared" si="7"/>
        <v>-561</v>
      </c>
      <c r="I92" s="21">
        <f t="shared" si="9"/>
        <v>164.41574454631677</v>
      </c>
      <c r="J92" s="17"/>
    </row>
    <row r="93" spans="1:10" ht="13.5">
      <c r="A93" s="1">
        <v>5</v>
      </c>
      <c r="B93" s="2" t="s">
        <v>90</v>
      </c>
      <c r="C93" s="3">
        <v>323</v>
      </c>
      <c r="D93" s="3"/>
      <c r="E93" s="3">
        <v>1</v>
      </c>
      <c r="F93" s="3">
        <f t="shared" si="6"/>
        <v>322</v>
      </c>
      <c r="G93" s="3">
        <v>514</v>
      </c>
      <c r="H93" s="3">
        <f t="shared" si="7"/>
        <v>-192</v>
      </c>
      <c r="I93" s="21">
        <f t="shared" si="9"/>
        <v>56.27062914954157</v>
      </c>
      <c r="J93" s="17"/>
    </row>
    <row r="94" spans="1:10" ht="13.5">
      <c r="A94" s="1">
        <v>6</v>
      </c>
      <c r="B94" s="2" t="s">
        <v>91</v>
      </c>
      <c r="C94" s="3">
        <v>400</v>
      </c>
      <c r="D94" s="3"/>
      <c r="E94" s="3"/>
      <c r="F94" s="3">
        <f t="shared" si="6"/>
        <v>400</v>
      </c>
      <c r="G94" s="3">
        <v>1082</v>
      </c>
      <c r="H94" s="3">
        <f t="shared" si="7"/>
        <v>-682</v>
      </c>
      <c r="I94" s="21">
        <f t="shared" si="9"/>
        <v>199.87796395826746</v>
      </c>
      <c r="J94" s="17"/>
    </row>
    <row r="95" spans="1:10" ht="13.5">
      <c r="A95" s="1">
        <v>7</v>
      </c>
      <c r="B95" s="2" t="s">
        <v>92</v>
      </c>
      <c r="C95" s="3">
        <v>420</v>
      </c>
      <c r="D95" s="3"/>
      <c r="E95" s="3"/>
      <c r="F95" s="3">
        <f t="shared" si="6"/>
        <v>420</v>
      </c>
      <c r="G95" s="3">
        <v>420</v>
      </c>
      <c r="H95" s="3">
        <f t="shared" si="7"/>
        <v>0</v>
      </c>
      <c r="I95" s="21">
        <f t="shared" si="9"/>
        <v>0</v>
      </c>
      <c r="J95" s="17"/>
    </row>
    <row r="96" spans="1:10" ht="13.5">
      <c r="A96" s="1">
        <v>8</v>
      </c>
      <c r="B96" s="2" t="s">
        <v>93</v>
      </c>
      <c r="C96" s="3">
        <v>2580</v>
      </c>
      <c r="D96" s="3">
        <v>14</v>
      </c>
      <c r="E96" s="3">
        <v>16</v>
      </c>
      <c r="F96" s="3">
        <f t="shared" si="6"/>
        <v>2550</v>
      </c>
      <c r="G96" s="3">
        <v>2188</v>
      </c>
      <c r="H96" s="3">
        <v>0</v>
      </c>
      <c r="I96" s="21">
        <f t="shared" si="9"/>
        <v>0</v>
      </c>
      <c r="J96" s="17">
        <f>F96-G96</f>
        <v>362</v>
      </c>
    </row>
    <row r="97" spans="1:10" ht="13.5">
      <c r="A97" s="1">
        <v>9</v>
      </c>
      <c r="B97" s="2" t="s">
        <v>94</v>
      </c>
      <c r="C97" s="3">
        <v>162</v>
      </c>
      <c r="D97" s="3"/>
      <c r="E97" s="3">
        <v>2</v>
      </c>
      <c r="F97" s="3">
        <f t="shared" si="6"/>
        <v>160</v>
      </c>
      <c r="G97" s="3">
        <v>160</v>
      </c>
      <c r="H97" s="3">
        <f t="shared" si="7"/>
        <v>0</v>
      </c>
      <c r="I97" s="21">
        <f t="shared" si="9"/>
        <v>0</v>
      </c>
      <c r="J97" s="17"/>
    </row>
    <row r="98" spans="1:10" ht="13.5">
      <c r="A98" s="1">
        <v>10</v>
      </c>
      <c r="B98" s="2" t="s">
        <v>95</v>
      </c>
      <c r="C98" s="3">
        <v>269</v>
      </c>
      <c r="D98" s="3"/>
      <c r="E98" s="3">
        <v>2</v>
      </c>
      <c r="F98" s="3">
        <f t="shared" si="6"/>
        <v>267</v>
      </c>
      <c r="G98" s="3">
        <v>267</v>
      </c>
      <c r="H98" s="3">
        <f t="shared" si="7"/>
        <v>0</v>
      </c>
      <c r="I98" s="21">
        <f t="shared" si="9"/>
        <v>0</v>
      </c>
      <c r="J98" s="17"/>
    </row>
    <row r="99" spans="1:10" ht="13.5">
      <c r="A99" s="1">
        <v>11</v>
      </c>
      <c r="B99" s="2" t="s">
        <v>96</v>
      </c>
      <c r="C99" s="3">
        <v>226</v>
      </c>
      <c r="D99" s="3"/>
      <c r="E99" s="3"/>
      <c r="F99" s="3">
        <f t="shared" si="6"/>
        <v>226</v>
      </c>
      <c r="G99" s="3">
        <v>226</v>
      </c>
      <c r="H99" s="3">
        <f t="shared" si="7"/>
        <v>0</v>
      </c>
      <c r="I99" s="21">
        <f t="shared" si="9"/>
        <v>0</v>
      </c>
      <c r="J99" s="17"/>
    </row>
    <row r="100" spans="1:10" ht="13.5">
      <c r="A100" s="14" t="s">
        <v>454</v>
      </c>
      <c r="B100" s="15" t="s">
        <v>97</v>
      </c>
      <c r="C100" s="16">
        <f>SUM(C101:C107)</f>
        <v>2671</v>
      </c>
      <c r="D100" s="16">
        <f>SUM(D101:D107)</f>
        <v>1</v>
      </c>
      <c r="E100" s="16">
        <f>SUM(E101:E107)</f>
        <v>12</v>
      </c>
      <c r="F100" s="16">
        <f t="shared" si="6"/>
        <v>2658</v>
      </c>
      <c r="G100" s="16">
        <f>SUM(G101:G107)</f>
        <v>3118</v>
      </c>
      <c r="H100" s="16">
        <f>SUM(H101:H107)</f>
        <v>-461</v>
      </c>
      <c r="I100" s="23">
        <f>H100/-45579*13363</f>
        <v>135.1574848065995</v>
      </c>
      <c r="J100" s="17"/>
    </row>
    <row r="101" spans="1:10" ht="13.5">
      <c r="A101" s="1">
        <v>1</v>
      </c>
      <c r="B101" s="2" t="s">
        <v>98</v>
      </c>
      <c r="C101" s="3">
        <v>605</v>
      </c>
      <c r="D101" s="3"/>
      <c r="E101" s="3">
        <v>1</v>
      </c>
      <c r="F101" s="3">
        <f t="shared" si="6"/>
        <v>604</v>
      </c>
      <c r="G101" s="3">
        <v>733</v>
      </c>
      <c r="H101" s="3">
        <f t="shared" si="7"/>
        <v>-129</v>
      </c>
      <c r="I101" s="21">
        <f>H101/461*-135</f>
        <v>37.7765726681128</v>
      </c>
      <c r="J101" s="17"/>
    </row>
    <row r="102" spans="1:10" ht="13.5">
      <c r="A102" s="1">
        <v>2</v>
      </c>
      <c r="B102" s="2" t="s">
        <v>99</v>
      </c>
      <c r="C102" s="3">
        <v>680</v>
      </c>
      <c r="D102" s="3">
        <v>1</v>
      </c>
      <c r="E102" s="3">
        <v>5</v>
      </c>
      <c r="F102" s="3">
        <f t="shared" si="6"/>
        <v>674</v>
      </c>
      <c r="G102" s="3">
        <v>739</v>
      </c>
      <c r="H102" s="3">
        <f t="shared" si="7"/>
        <v>-65</v>
      </c>
      <c r="I102" s="21">
        <f aca="true" t="shared" si="10" ref="I102:I107">H102/461*-135</f>
        <v>19.03470715835141</v>
      </c>
      <c r="J102" s="17"/>
    </row>
    <row r="103" spans="1:10" ht="13.5">
      <c r="A103" s="1">
        <v>3</v>
      </c>
      <c r="B103" s="2" t="s">
        <v>100</v>
      </c>
      <c r="C103" s="3">
        <v>647</v>
      </c>
      <c r="D103" s="3"/>
      <c r="E103" s="3"/>
      <c r="F103" s="3">
        <f t="shared" si="6"/>
        <v>647</v>
      </c>
      <c r="G103" s="3">
        <v>847</v>
      </c>
      <c r="H103" s="3">
        <f t="shared" si="7"/>
        <v>-200</v>
      </c>
      <c r="I103" s="21">
        <f t="shared" si="10"/>
        <v>58.56832971800434</v>
      </c>
      <c r="J103" s="17"/>
    </row>
    <row r="104" spans="1:10" ht="13.5">
      <c r="A104" s="1"/>
      <c r="B104" s="2" t="s">
        <v>101</v>
      </c>
      <c r="C104" s="3"/>
      <c r="D104" s="3"/>
      <c r="E104" s="3"/>
      <c r="F104" s="3"/>
      <c r="G104" s="3"/>
      <c r="H104" s="3">
        <f t="shared" si="7"/>
        <v>0</v>
      </c>
      <c r="I104" s="21">
        <f t="shared" si="10"/>
        <v>0</v>
      </c>
      <c r="J104" s="17"/>
    </row>
    <row r="105" spans="1:10" ht="13.5">
      <c r="A105" s="1">
        <v>4</v>
      </c>
      <c r="B105" s="2" t="s">
        <v>102</v>
      </c>
      <c r="C105" s="3"/>
      <c r="D105" s="3"/>
      <c r="E105" s="3"/>
      <c r="F105" s="3">
        <f t="shared" si="6"/>
        <v>0</v>
      </c>
      <c r="G105" s="3"/>
      <c r="H105" s="3">
        <f t="shared" si="7"/>
        <v>0</v>
      </c>
      <c r="I105" s="21">
        <f t="shared" si="10"/>
        <v>0</v>
      </c>
      <c r="J105" s="17"/>
    </row>
    <row r="106" spans="1:10" ht="13.5">
      <c r="A106" s="1"/>
      <c r="B106" s="2" t="s">
        <v>103</v>
      </c>
      <c r="C106" s="3">
        <v>1</v>
      </c>
      <c r="D106" s="3"/>
      <c r="E106" s="3"/>
      <c r="F106" s="3"/>
      <c r="G106" s="3"/>
      <c r="H106" s="3">
        <f t="shared" si="7"/>
        <v>0</v>
      </c>
      <c r="I106" s="21">
        <f t="shared" si="10"/>
        <v>0</v>
      </c>
      <c r="J106" s="17"/>
    </row>
    <row r="107" spans="1:10" ht="13.5">
      <c r="A107" s="1">
        <v>5</v>
      </c>
      <c r="B107" s="2" t="s">
        <v>104</v>
      </c>
      <c r="C107" s="3">
        <v>738</v>
      </c>
      <c r="D107" s="3"/>
      <c r="E107" s="3">
        <v>6</v>
      </c>
      <c r="F107" s="3">
        <f t="shared" si="6"/>
        <v>732</v>
      </c>
      <c r="G107" s="3">
        <v>799</v>
      </c>
      <c r="H107" s="3">
        <f t="shared" si="7"/>
        <v>-67</v>
      </c>
      <c r="I107" s="21">
        <f t="shared" si="10"/>
        <v>19.620390455531453</v>
      </c>
      <c r="J107" s="17"/>
    </row>
    <row r="108" spans="1:10" ht="13.5">
      <c r="A108" s="14" t="s">
        <v>455</v>
      </c>
      <c r="B108" s="15" t="s">
        <v>105</v>
      </c>
      <c r="C108" s="16">
        <f>SUM(C109:C118)</f>
        <v>8793</v>
      </c>
      <c r="D108" s="16">
        <f>SUM(D109:D118)</f>
        <v>14</v>
      </c>
      <c r="E108" s="16">
        <f>SUM(E109:E118)</f>
        <v>42</v>
      </c>
      <c r="F108" s="16">
        <f t="shared" si="6"/>
        <v>8737</v>
      </c>
      <c r="G108" s="16">
        <f>SUM(G109:G118)</f>
        <v>9002</v>
      </c>
      <c r="H108" s="16">
        <f>SUM(H109:H118)</f>
        <v>-1324</v>
      </c>
      <c r="I108" s="23">
        <f>H108/-45579*13363</f>
        <v>388.1746418306676</v>
      </c>
      <c r="J108" s="17"/>
    </row>
    <row r="109" spans="1:10" ht="13.5">
      <c r="A109" s="1">
        <v>1</v>
      </c>
      <c r="B109" s="2" t="s">
        <v>106</v>
      </c>
      <c r="C109" s="3">
        <v>1111</v>
      </c>
      <c r="D109" s="3">
        <v>2</v>
      </c>
      <c r="E109" s="3"/>
      <c r="F109" s="3">
        <f t="shared" si="6"/>
        <v>1109</v>
      </c>
      <c r="G109" s="3">
        <v>1336</v>
      </c>
      <c r="H109" s="3">
        <f t="shared" si="7"/>
        <v>-227</v>
      </c>
      <c r="I109" s="21">
        <f>H109/-1324*388</f>
        <v>66.5226586102719</v>
      </c>
      <c r="J109" s="17"/>
    </row>
    <row r="110" spans="1:10" ht="13.5">
      <c r="A110" s="1">
        <v>2</v>
      </c>
      <c r="B110" s="2" t="s">
        <v>107</v>
      </c>
      <c r="C110" s="3">
        <v>1560</v>
      </c>
      <c r="D110" s="3">
        <v>1</v>
      </c>
      <c r="E110" s="3">
        <v>12</v>
      </c>
      <c r="F110" s="3">
        <f t="shared" si="6"/>
        <v>1547</v>
      </c>
      <c r="G110" s="3">
        <v>1905</v>
      </c>
      <c r="H110" s="3">
        <f t="shared" si="7"/>
        <v>-358</v>
      </c>
      <c r="I110" s="21">
        <f aca="true" t="shared" si="11" ref="I110:I118">H110/-1324*388</f>
        <v>104.91238670694865</v>
      </c>
      <c r="J110" s="17"/>
    </row>
    <row r="111" spans="1:10" ht="13.5">
      <c r="A111" s="1">
        <v>3</v>
      </c>
      <c r="B111" s="2" t="s">
        <v>108</v>
      </c>
      <c r="C111" s="3">
        <v>810</v>
      </c>
      <c r="D111" s="3">
        <v>2</v>
      </c>
      <c r="E111" s="3">
        <v>4</v>
      </c>
      <c r="F111" s="3">
        <f t="shared" si="6"/>
        <v>804</v>
      </c>
      <c r="G111" s="3">
        <v>520</v>
      </c>
      <c r="H111" s="3">
        <v>0</v>
      </c>
      <c r="I111" s="21">
        <f t="shared" si="11"/>
        <v>0</v>
      </c>
      <c r="J111" s="17">
        <f>F111-G111</f>
        <v>284</v>
      </c>
    </row>
    <row r="112" spans="1:10" ht="13.5">
      <c r="A112" s="1">
        <v>4</v>
      </c>
      <c r="B112" s="2" t="s">
        <v>109</v>
      </c>
      <c r="C112" s="3">
        <v>438</v>
      </c>
      <c r="D112" s="3"/>
      <c r="E112" s="3"/>
      <c r="F112" s="3">
        <f t="shared" si="6"/>
        <v>438</v>
      </c>
      <c r="G112" s="3">
        <v>478</v>
      </c>
      <c r="H112" s="3">
        <f t="shared" si="7"/>
        <v>-40</v>
      </c>
      <c r="I112" s="21">
        <f t="shared" si="11"/>
        <v>11.722054380664654</v>
      </c>
      <c r="J112" s="17"/>
    </row>
    <row r="113" spans="1:10" ht="13.5">
      <c r="A113" s="1">
        <v>5</v>
      </c>
      <c r="B113" s="2" t="s">
        <v>110</v>
      </c>
      <c r="C113" s="3">
        <v>1153</v>
      </c>
      <c r="D113" s="3">
        <v>2</v>
      </c>
      <c r="E113" s="3">
        <v>7</v>
      </c>
      <c r="F113" s="3">
        <f t="shared" si="6"/>
        <v>1144</v>
      </c>
      <c r="G113" s="3">
        <v>842</v>
      </c>
      <c r="H113" s="3">
        <v>0</v>
      </c>
      <c r="I113" s="21">
        <f t="shared" si="11"/>
        <v>0</v>
      </c>
      <c r="J113" s="17">
        <f>F113-G113</f>
        <v>302</v>
      </c>
    </row>
    <row r="114" spans="1:10" ht="13.5">
      <c r="A114" s="1">
        <v>6</v>
      </c>
      <c r="B114" s="2" t="s">
        <v>111</v>
      </c>
      <c r="C114" s="3">
        <v>484</v>
      </c>
      <c r="D114" s="3"/>
      <c r="E114" s="3">
        <v>3</v>
      </c>
      <c r="F114" s="3">
        <f t="shared" si="6"/>
        <v>481</v>
      </c>
      <c r="G114" s="3">
        <v>989</v>
      </c>
      <c r="H114" s="3">
        <f t="shared" si="7"/>
        <v>-508</v>
      </c>
      <c r="I114" s="21">
        <f t="shared" si="11"/>
        <v>148.87009063444108</v>
      </c>
      <c r="J114" s="17"/>
    </row>
    <row r="115" spans="1:10" ht="13.5">
      <c r="A115" s="1">
        <v>7</v>
      </c>
      <c r="B115" s="2" t="s">
        <v>112</v>
      </c>
      <c r="C115" s="3">
        <v>257</v>
      </c>
      <c r="D115" s="3"/>
      <c r="E115" s="3"/>
      <c r="F115" s="3">
        <f t="shared" si="6"/>
        <v>257</v>
      </c>
      <c r="G115" s="3">
        <v>390</v>
      </c>
      <c r="H115" s="3">
        <f t="shared" si="7"/>
        <v>-133</v>
      </c>
      <c r="I115" s="21">
        <f t="shared" si="11"/>
        <v>38.97583081570997</v>
      </c>
      <c r="J115" s="17"/>
    </row>
    <row r="116" spans="1:10" ht="13.5">
      <c r="A116" s="1">
        <v>8</v>
      </c>
      <c r="B116" s="2" t="s">
        <v>113</v>
      </c>
      <c r="C116" s="3">
        <v>890</v>
      </c>
      <c r="D116" s="3">
        <v>3</v>
      </c>
      <c r="E116" s="3">
        <v>1</v>
      </c>
      <c r="F116" s="3">
        <f t="shared" si="6"/>
        <v>886</v>
      </c>
      <c r="G116" s="3">
        <v>601</v>
      </c>
      <c r="H116" s="3">
        <v>0</v>
      </c>
      <c r="I116" s="21">
        <f t="shared" si="11"/>
        <v>0</v>
      </c>
      <c r="J116" s="17">
        <f>F116-G116</f>
        <v>285</v>
      </c>
    </row>
    <row r="117" spans="1:10" ht="13.5">
      <c r="A117" s="1">
        <v>9</v>
      </c>
      <c r="B117" s="2" t="s">
        <v>114</v>
      </c>
      <c r="C117" s="3">
        <v>1748</v>
      </c>
      <c r="D117" s="3">
        <v>4</v>
      </c>
      <c r="E117" s="3">
        <v>12</v>
      </c>
      <c r="F117" s="3">
        <f t="shared" si="6"/>
        <v>1732</v>
      </c>
      <c r="G117" s="3">
        <v>1544</v>
      </c>
      <c r="H117" s="3">
        <v>0</v>
      </c>
      <c r="I117" s="21">
        <f t="shared" si="11"/>
        <v>0</v>
      </c>
      <c r="J117" s="17">
        <f>F117-G117</f>
        <v>188</v>
      </c>
    </row>
    <row r="118" spans="1:10" ht="13.5">
      <c r="A118" s="1">
        <v>10</v>
      </c>
      <c r="B118" s="2" t="s">
        <v>115</v>
      </c>
      <c r="C118" s="3">
        <v>342</v>
      </c>
      <c r="D118" s="3"/>
      <c r="E118" s="3">
        <v>3</v>
      </c>
      <c r="F118" s="3">
        <f t="shared" si="6"/>
        <v>339</v>
      </c>
      <c r="G118" s="3">
        <v>397</v>
      </c>
      <c r="H118" s="3">
        <f t="shared" si="7"/>
        <v>-58</v>
      </c>
      <c r="I118" s="21">
        <f t="shared" si="11"/>
        <v>16.996978851963746</v>
      </c>
      <c r="J118" s="17"/>
    </row>
    <row r="119" spans="1:10" ht="13.5">
      <c r="A119" s="14" t="s">
        <v>456</v>
      </c>
      <c r="B119" s="15" t="s">
        <v>116</v>
      </c>
      <c r="C119" s="16">
        <f>SUM(C120:C126)</f>
        <v>1045</v>
      </c>
      <c r="D119" s="16">
        <f>SUM(D120:D126)</f>
        <v>0</v>
      </c>
      <c r="E119" s="16">
        <f>SUM(E120:E126)</f>
        <v>3</v>
      </c>
      <c r="F119" s="16">
        <f t="shared" si="6"/>
        <v>1042</v>
      </c>
      <c r="G119" s="16">
        <f>SUM(G120:G126)</f>
        <v>1429</v>
      </c>
      <c r="H119" s="16">
        <f>SUM(H120:H126)</f>
        <v>-388</v>
      </c>
      <c r="I119" s="23">
        <f>H119/-45579*13363</f>
        <v>113.75510651835276</v>
      </c>
      <c r="J119" s="17"/>
    </row>
    <row r="120" spans="1:10" ht="13.5">
      <c r="A120" s="1">
        <v>1</v>
      </c>
      <c r="B120" s="2" t="s">
        <v>117</v>
      </c>
      <c r="C120" s="3">
        <v>426</v>
      </c>
      <c r="D120" s="3"/>
      <c r="E120" s="3">
        <v>1</v>
      </c>
      <c r="F120" s="3">
        <f t="shared" si="6"/>
        <v>425</v>
      </c>
      <c r="G120" s="3">
        <v>620</v>
      </c>
      <c r="H120" s="3">
        <f t="shared" si="7"/>
        <v>-195</v>
      </c>
      <c r="I120" s="21">
        <f>H120/388*-114</f>
        <v>57.29381443298969</v>
      </c>
      <c r="J120" s="17"/>
    </row>
    <row r="121" spans="1:10" ht="13.5">
      <c r="A121" s="1">
        <v>2</v>
      </c>
      <c r="B121" s="2" t="s">
        <v>118</v>
      </c>
      <c r="C121" s="3">
        <v>61</v>
      </c>
      <c r="D121" s="3"/>
      <c r="E121" s="3"/>
      <c r="F121" s="3">
        <f t="shared" si="6"/>
        <v>61</v>
      </c>
      <c r="G121" s="3">
        <v>61</v>
      </c>
      <c r="H121" s="3">
        <f t="shared" si="7"/>
        <v>0</v>
      </c>
      <c r="I121" s="21">
        <f aca="true" t="shared" si="12" ref="I121:I126">H121/388*-114</f>
        <v>0</v>
      </c>
      <c r="J121" s="17"/>
    </row>
    <row r="122" spans="1:10" ht="13.5">
      <c r="A122" s="1">
        <v>3</v>
      </c>
      <c r="B122" s="2" t="s">
        <v>119</v>
      </c>
      <c r="C122" s="3">
        <v>37</v>
      </c>
      <c r="D122" s="3"/>
      <c r="E122" s="3"/>
      <c r="F122" s="3">
        <f t="shared" si="6"/>
        <v>37</v>
      </c>
      <c r="G122" s="3">
        <v>37</v>
      </c>
      <c r="H122" s="3">
        <f t="shared" si="7"/>
        <v>0</v>
      </c>
      <c r="I122" s="21">
        <f t="shared" si="12"/>
        <v>0</v>
      </c>
      <c r="J122" s="17"/>
    </row>
    <row r="123" spans="1:10" ht="13.5">
      <c r="A123" s="1">
        <v>4</v>
      </c>
      <c r="B123" s="2" t="s">
        <v>120</v>
      </c>
      <c r="C123" s="3">
        <v>4</v>
      </c>
      <c r="D123" s="3"/>
      <c r="E123" s="3"/>
      <c r="F123" s="3">
        <f t="shared" si="6"/>
        <v>4</v>
      </c>
      <c r="G123" s="3">
        <v>4</v>
      </c>
      <c r="H123" s="3">
        <f t="shared" si="7"/>
        <v>0</v>
      </c>
      <c r="I123" s="21">
        <f t="shared" si="12"/>
        <v>0</v>
      </c>
      <c r="J123" s="17"/>
    </row>
    <row r="124" spans="1:10" ht="13.5">
      <c r="A124" s="1">
        <v>5</v>
      </c>
      <c r="B124" s="2" t="s">
        <v>121</v>
      </c>
      <c r="C124" s="3">
        <v>297</v>
      </c>
      <c r="D124" s="3"/>
      <c r="E124" s="3"/>
      <c r="F124" s="3">
        <f t="shared" si="6"/>
        <v>297</v>
      </c>
      <c r="G124" s="3">
        <v>432</v>
      </c>
      <c r="H124" s="3">
        <f t="shared" si="7"/>
        <v>-135</v>
      </c>
      <c r="I124" s="21">
        <f t="shared" si="12"/>
        <v>39.66494845360825</v>
      </c>
      <c r="J124" s="17"/>
    </row>
    <row r="125" spans="1:10" ht="13.5">
      <c r="A125" s="1"/>
      <c r="B125" s="2" t="s">
        <v>122</v>
      </c>
      <c r="C125" s="3">
        <v>1</v>
      </c>
      <c r="D125" s="3"/>
      <c r="E125" s="3"/>
      <c r="F125" s="3"/>
      <c r="G125" s="3"/>
      <c r="H125" s="3">
        <f t="shared" si="7"/>
        <v>0</v>
      </c>
      <c r="I125" s="21">
        <f t="shared" si="12"/>
        <v>0</v>
      </c>
      <c r="J125" s="17"/>
    </row>
    <row r="126" spans="1:10" ht="13.5">
      <c r="A126" s="1">
        <v>6</v>
      </c>
      <c r="B126" s="2" t="s">
        <v>123</v>
      </c>
      <c r="C126" s="3">
        <v>219</v>
      </c>
      <c r="D126" s="3"/>
      <c r="E126" s="3">
        <v>2</v>
      </c>
      <c r="F126" s="3">
        <f t="shared" si="6"/>
        <v>217</v>
      </c>
      <c r="G126" s="3">
        <v>275</v>
      </c>
      <c r="H126" s="3">
        <f t="shared" si="7"/>
        <v>-58</v>
      </c>
      <c r="I126" s="21">
        <f t="shared" si="12"/>
        <v>17.04123711340206</v>
      </c>
      <c r="J126" s="17"/>
    </row>
    <row r="127" spans="1:10" ht="13.5">
      <c r="A127" s="14" t="s">
        <v>457</v>
      </c>
      <c r="B127" s="15" t="s">
        <v>124</v>
      </c>
      <c r="C127" s="16">
        <f>SUM(C128:C132)</f>
        <v>1092</v>
      </c>
      <c r="D127" s="16">
        <f>SUM(D128:D132)</f>
        <v>1</v>
      </c>
      <c r="E127" s="16">
        <f>SUM(E128:E132)</f>
        <v>11</v>
      </c>
      <c r="F127" s="16">
        <f t="shared" si="6"/>
        <v>1080</v>
      </c>
      <c r="G127" s="16">
        <f>SUM(G128:G132)</f>
        <v>1566</v>
      </c>
      <c r="H127" s="16">
        <f>SUM(H128:H132)</f>
        <v>-486</v>
      </c>
      <c r="I127" s="23">
        <f>H127/-45579*13363</f>
        <v>142.4870664121635</v>
      </c>
      <c r="J127" s="17"/>
    </row>
    <row r="128" spans="1:10" ht="13.5">
      <c r="A128" s="1">
        <v>1</v>
      </c>
      <c r="B128" s="2" t="s">
        <v>125</v>
      </c>
      <c r="C128" s="3">
        <v>234</v>
      </c>
      <c r="D128" s="3"/>
      <c r="E128" s="3">
        <v>2</v>
      </c>
      <c r="F128" s="3">
        <f t="shared" si="6"/>
        <v>232</v>
      </c>
      <c r="G128" s="3">
        <v>465</v>
      </c>
      <c r="H128" s="3">
        <f t="shared" si="7"/>
        <v>-233</v>
      </c>
      <c r="I128" s="21">
        <f>H128/486*-142</f>
        <v>68.07818930041152</v>
      </c>
      <c r="J128" s="17"/>
    </row>
    <row r="129" spans="1:10" ht="13.5">
      <c r="A129" s="1">
        <v>2</v>
      </c>
      <c r="B129" s="2" t="s">
        <v>126</v>
      </c>
      <c r="C129" s="3">
        <v>244</v>
      </c>
      <c r="D129" s="3"/>
      <c r="E129" s="3">
        <v>1</v>
      </c>
      <c r="F129" s="3">
        <f t="shared" si="6"/>
        <v>243</v>
      </c>
      <c r="G129" s="3">
        <v>291</v>
      </c>
      <c r="H129" s="3">
        <f t="shared" si="7"/>
        <v>-48</v>
      </c>
      <c r="I129" s="21">
        <f>H129/486*-142</f>
        <v>14.02469135802469</v>
      </c>
      <c r="J129" s="17"/>
    </row>
    <row r="130" spans="1:10" ht="13.5">
      <c r="A130" s="1">
        <v>3</v>
      </c>
      <c r="B130" s="2" t="s">
        <v>127</v>
      </c>
      <c r="C130" s="3">
        <v>73</v>
      </c>
      <c r="D130" s="3">
        <v>1</v>
      </c>
      <c r="E130" s="3">
        <v>2</v>
      </c>
      <c r="F130" s="3">
        <f t="shared" si="6"/>
        <v>70</v>
      </c>
      <c r="G130" s="3">
        <v>256</v>
      </c>
      <c r="H130" s="3">
        <f t="shared" si="7"/>
        <v>-186</v>
      </c>
      <c r="I130" s="21">
        <f>H130/486*-142</f>
        <v>54.34567901234568</v>
      </c>
      <c r="J130" s="17"/>
    </row>
    <row r="131" spans="1:10" ht="13.5">
      <c r="A131" s="1">
        <v>4</v>
      </c>
      <c r="B131" s="2" t="s">
        <v>128</v>
      </c>
      <c r="C131" s="3">
        <v>265</v>
      </c>
      <c r="D131" s="3"/>
      <c r="E131" s="3"/>
      <c r="F131" s="3">
        <f t="shared" si="6"/>
        <v>265</v>
      </c>
      <c r="G131" s="3">
        <v>284</v>
      </c>
      <c r="H131" s="3">
        <f t="shared" si="7"/>
        <v>-19</v>
      </c>
      <c r="I131" s="21">
        <f>H131/486*-142</f>
        <v>5.551440329218107</v>
      </c>
      <c r="J131" s="17"/>
    </row>
    <row r="132" spans="1:10" ht="13.5">
      <c r="A132" s="1">
        <v>5</v>
      </c>
      <c r="B132" s="2" t="s">
        <v>129</v>
      </c>
      <c r="C132" s="3">
        <v>276</v>
      </c>
      <c r="D132" s="3"/>
      <c r="E132" s="3">
        <v>6</v>
      </c>
      <c r="F132" s="3">
        <f t="shared" si="6"/>
        <v>270</v>
      </c>
      <c r="G132" s="3">
        <v>270</v>
      </c>
      <c r="H132" s="3">
        <f t="shared" si="7"/>
        <v>0</v>
      </c>
      <c r="I132" s="21">
        <f>H132/486*-142</f>
        <v>0</v>
      </c>
      <c r="J132" s="17"/>
    </row>
    <row r="133" spans="1:10" ht="13.5">
      <c r="A133" s="14" t="s">
        <v>458</v>
      </c>
      <c r="B133" s="15" t="s">
        <v>130</v>
      </c>
      <c r="C133" s="16">
        <v>10965</v>
      </c>
      <c r="D133" s="16">
        <v>71</v>
      </c>
      <c r="E133" s="16">
        <v>172</v>
      </c>
      <c r="F133" s="16">
        <f t="shared" si="6"/>
        <v>10722</v>
      </c>
      <c r="G133" s="16">
        <v>13475</v>
      </c>
      <c r="H133" s="16">
        <f t="shared" si="7"/>
        <v>-2753</v>
      </c>
      <c r="I133" s="23">
        <f>H133/-45579*13363</f>
        <v>807.133526404704</v>
      </c>
      <c r="J133" s="17"/>
    </row>
    <row r="134" spans="1:10" ht="13.5">
      <c r="A134" s="14" t="s">
        <v>459</v>
      </c>
      <c r="B134" s="15" t="s">
        <v>131</v>
      </c>
      <c r="C134" s="16">
        <f>SUM(C135:C159)</f>
        <v>29182</v>
      </c>
      <c r="D134" s="16">
        <f>SUM(D135:D159)</f>
        <v>101</v>
      </c>
      <c r="E134" s="16">
        <f>SUM(E135:E159)</f>
        <v>205</v>
      </c>
      <c r="F134" s="16">
        <f t="shared" si="6"/>
        <v>28876</v>
      </c>
      <c r="G134" s="16">
        <f>SUM(G135:G159)</f>
        <v>34082</v>
      </c>
      <c r="H134" s="16">
        <f>SUM(H135:H159)</f>
        <v>-5997</v>
      </c>
      <c r="I134" s="23">
        <f>H134/-45579*13363</f>
        <v>1758.220035542684</v>
      </c>
      <c r="J134" s="17"/>
    </row>
    <row r="135" spans="1:10" ht="13.5">
      <c r="A135" s="1">
        <v>1</v>
      </c>
      <c r="B135" s="2" t="s">
        <v>132</v>
      </c>
      <c r="C135" s="3">
        <v>1104</v>
      </c>
      <c r="D135" s="3">
        <v>5</v>
      </c>
      <c r="E135" s="3">
        <v>4</v>
      </c>
      <c r="F135" s="3">
        <f t="shared" si="6"/>
        <v>1095</v>
      </c>
      <c r="G135" s="3">
        <v>949</v>
      </c>
      <c r="H135" s="3">
        <v>0</v>
      </c>
      <c r="I135" s="21">
        <f>H135/-5997*1758</f>
        <v>0</v>
      </c>
      <c r="J135" s="17">
        <f>F135-G135</f>
        <v>146</v>
      </c>
    </row>
    <row r="136" spans="1:10" ht="13.5">
      <c r="A136" s="1">
        <v>2</v>
      </c>
      <c r="B136" s="2" t="s">
        <v>133</v>
      </c>
      <c r="C136" s="3">
        <v>981</v>
      </c>
      <c r="D136" s="3">
        <v>4</v>
      </c>
      <c r="E136" s="3"/>
      <c r="F136" s="3">
        <f t="shared" si="6"/>
        <v>977</v>
      </c>
      <c r="G136" s="3">
        <v>1398</v>
      </c>
      <c r="H136" s="3">
        <f aca="true" t="shared" si="13" ref="H136:H194">F136-G136</f>
        <v>-421</v>
      </c>
      <c r="I136" s="21">
        <f aca="true" t="shared" si="14" ref="I136:I159">H136/-5997*1758</f>
        <v>123.41470735367683</v>
      </c>
      <c r="J136" s="17"/>
    </row>
    <row r="137" spans="1:10" ht="13.5">
      <c r="A137" s="1">
        <v>3</v>
      </c>
      <c r="B137" s="2" t="s">
        <v>134</v>
      </c>
      <c r="C137" s="3">
        <v>1032</v>
      </c>
      <c r="D137" s="3">
        <v>5</v>
      </c>
      <c r="E137" s="3">
        <v>11</v>
      </c>
      <c r="F137" s="3">
        <f t="shared" si="6"/>
        <v>1016</v>
      </c>
      <c r="G137" s="3">
        <v>1739</v>
      </c>
      <c r="H137" s="3">
        <f t="shared" si="13"/>
        <v>-723</v>
      </c>
      <c r="I137" s="21">
        <f t="shared" si="14"/>
        <v>211.9449724862431</v>
      </c>
      <c r="J137" s="17"/>
    </row>
    <row r="138" spans="1:10" ht="13.5">
      <c r="A138" s="1">
        <v>4</v>
      </c>
      <c r="B138" s="2" t="s">
        <v>135</v>
      </c>
      <c r="C138" s="3">
        <v>3445</v>
      </c>
      <c r="D138" s="3">
        <v>11</v>
      </c>
      <c r="E138" s="3">
        <v>23</v>
      </c>
      <c r="F138" s="3">
        <f aca="true" t="shared" si="15" ref="F138:F201">C138-E138-D138</f>
        <v>3411</v>
      </c>
      <c r="G138" s="3">
        <v>3271</v>
      </c>
      <c r="H138" s="3">
        <v>0</v>
      </c>
      <c r="I138" s="21">
        <f t="shared" si="14"/>
        <v>0</v>
      </c>
      <c r="J138" s="17">
        <f>F138-G138</f>
        <v>140</v>
      </c>
    </row>
    <row r="139" spans="1:10" ht="13.5">
      <c r="A139" s="1">
        <v>5</v>
      </c>
      <c r="B139" s="2" t="s">
        <v>136</v>
      </c>
      <c r="C139" s="3">
        <v>1735</v>
      </c>
      <c r="D139" s="3">
        <v>8</v>
      </c>
      <c r="E139" s="3">
        <v>10</v>
      </c>
      <c r="F139" s="3">
        <f t="shared" si="15"/>
        <v>1717</v>
      </c>
      <c r="G139" s="3">
        <v>1322</v>
      </c>
      <c r="H139" s="3">
        <v>0</v>
      </c>
      <c r="I139" s="21">
        <f t="shared" si="14"/>
        <v>0</v>
      </c>
      <c r="J139" s="17">
        <f>F139-G139</f>
        <v>395</v>
      </c>
    </row>
    <row r="140" spans="1:10" ht="13.5">
      <c r="A140" s="1">
        <v>6</v>
      </c>
      <c r="B140" s="2" t="s">
        <v>137</v>
      </c>
      <c r="C140" s="3">
        <v>1622</v>
      </c>
      <c r="D140" s="3">
        <v>2</v>
      </c>
      <c r="E140" s="3">
        <v>14</v>
      </c>
      <c r="F140" s="3">
        <f t="shared" si="15"/>
        <v>1606</v>
      </c>
      <c r="G140" s="3">
        <v>1943</v>
      </c>
      <c r="H140" s="3">
        <f t="shared" si="13"/>
        <v>-337</v>
      </c>
      <c r="I140" s="21">
        <f t="shared" si="14"/>
        <v>98.7903951975988</v>
      </c>
      <c r="J140" s="17"/>
    </row>
    <row r="141" spans="1:10" ht="13.5">
      <c r="A141" s="1">
        <v>7</v>
      </c>
      <c r="B141" s="2" t="s">
        <v>138</v>
      </c>
      <c r="C141" s="3">
        <v>2124</v>
      </c>
      <c r="D141" s="3">
        <v>6</v>
      </c>
      <c r="E141" s="3">
        <v>13</v>
      </c>
      <c r="F141" s="3">
        <f t="shared" si="15"/>
        <v>2105</v>
      </c>
      <c r="G141" s="3">
        <v>2043</v>
      </c>
      <c r="H141" s="3">
        <v>0</v>
      </c>
      <c r="I141" s="21">
        <f t="shared" si="14"/>
        <v>0</v>
      </c>
      <c r="J141" s="17">
        <f>F141-G141</f>
        <v>62</v>
      </c>
    </row>
    <row r="142" spans="1:10" ht="13.5">
      <c r="A142" s="1">
        <v>8</v>
      </c>
      <c r="B142" s="2" t="s">
        <v>139</v>
      </c>
      <c r="C142" s="3">
        <v>1237</v>
      </c>
      <c r="D142" s="3">
        <v>3</v>
      </c>
      <c r="E142" s="3">
        <v>5</v>
      </c>
      <c r="F142" s="3">
        <f t="shared" si="15"/>
        <v>1229</v>
      </c>
      <c r="G142" s="3">
        <v>1752</v>
      </c>
      <c r="H142" s="3">
        <f t="shared" si="13"/>
        <v>-523</v>
      </c>
      <c r="I142" s="21">
        <f t="shared" si="14"/>
        <v>153.31565782891445</v>
      </c>
      <c r="J142" s="17"/>
    </row>
    <row r="143" spans="1:10" ht="13.5">
      <c r="A143" s="1">
        <v>9</v>
      </c>
      <c r="B143" s="2" t="s">
        <v>140</v>
      </c>
      <c r="C143" s="3">
        <v>1311</v>
      </c>
      <c r="D143" s="3">
        <v>7</v>
      </c>
      <c r="E143" s="3">
        <v>9</v>
      </c>
      <c r="F143" s="3">
        <f t="shared" si="15"/>
        <v>1295</v>
      </c>
      <c r="G143" s="3">
        <v>1570</v>
      </c>
      <c r="H143" s="3">
        <f t="shared" si="13"/>
        <v>-275</v>
      </c>
      <c r="I143" s="21">
        <f t="shared" si="14"/>
        <v>80.61530765382692</v>
      </c>
      <c r="J143" s="17"/>
    </row>
    <row r="144" spans="1:10" ht="13.5">
      <c r="A144" s="1">
        <v>10</v>
      </c>
      <c r="B144" s="2" t="s">
        <v>141</v>
      </c>
      <c r="C144" s="3">
        <v>1343</v>
      </c>
      <c r="D144" s="3">
        <v>3</v>
      </c>
      <c r="E144" s="3">
        <v>7</v>
      </c>
      <c r="F144" s="3">
        <f t="shared" si="15"/>
        <v>1333</v>
      </c>
      <c r="G144" s="3">
        <v>1415</v>
      </c>
      <c r="H144" s="3">
        <f t="shared" si="13"/>
        <v>-82</v>
      </c>
      <c r="I144" s="21">
        <f t="shared" si="14"/>
        <v>24.038019009504755</v>
      </c>
      <c r="J144" s="17"/>
    </row>
    <row r="145" spans="1:10" ht="13.5">
      <c r="A145" s="1">
        <v>11</v>
      </c>
      <c r="B145" s="2" t="s">
        <v>142</v>
      </c>
      <c r="C145" s="3">
        <v>1412</v>
      </c>
      <c r="D145" s="3">
        <v>4</v>
      </c>
      <c r="E145" s="3">
        <v>6</v>
      </c>
      <c r="F145" s="3">
        <f t="shared" si="15"/>
        <v>1402</v>
      </c>
      <c r="G145" s="3">
        <v>1746</v>
      </c>
      <c r="H145" s="3">
        <f t="shared" si="13"/>
        <v>-344</v>
      </c>
      <c r="I145" s="21">
        <f t="shared" si="14"/>
        <v>100.84242121060531</v>
      </c>
      <c r="J145" s="17"/>
    </row>
    <row r="146" spans="1:10" ht="13.5">
      <c r="A146" s="1">
        <v>12</v>
      </c>
      <c r="B146" s="2" t="s">
        <v>143</v>
      </c>
      <c r="C146" s="3">
        <v>959</v>
      </c>
      <c r="D146" s="3">
        <v>4</v>
      </c>
      <c r="E146" s="3">
        <v>2</v>
      </c>
      <c r="F146" s="3">
        <f t="shared" si="15"/>
        <v>953</v>
      </c>
      <c r="G146" s="3">
        <v>1537</v>
      </c>
      <c r="H146" s="3">
        <f t="shared" si="13"/>
        <v>-584</v>
      </c>
      <c r="I146" s="21">
        <f t="shared" si="14"/>
        <v>171.19759879939969</v>
      </c>
      <c r="J146" s="17"/>
    </row>
    <row r="147" spans="1:10" ht="13.5">
      <c r="A147" s="1">
        <v>13</v>
      </c>
      <c r="B147" s="2" t="s">
        <v>144</v>
      </c>
      <c r="C147" s="3">
        <v>1010</v>
      </c>
      <c r="D147" s="3">
        <v>4</v>
      </c>
      <c r="E147" s="3">
        <v>9</v>
      </c>
      <c r="F147" s="3">
        <f t="shared" si="15"/>
        <v>997</v>
      </c>
      <c r="G147" s="3">
        <v>1283</v>
      </c>
      <c r="H147" s="3">
        <f t="shared" si="13"/>
        <v>-286</v>
      </c>
      <c r="I147" s="21">
        <f t="shared" si="14"/>
        <v>83.83991995997998</v>
      </c>
      <c r="J147" s="17"/>
    </row>
    <row r="148" spans="1:10" ht="13.5">
      <c r="A148" s="1">
        <v>14</v>
      </c>
      <c r="B148" s="2" t="s">
        <v>145</v>
      </c>
      <c r="C148" s="3">
        <v>662</v>
      </c>
      <c r="D148" s="3"/>
      <c r="E148" s="3">
        <v>8</v>
      </c>
      <c r="F148" s="3">
        <f t="shared" si="15"/>
        <v>654</v>
      </c>
      <c r="G148" s="3">
        <v>852</v>
      </c>
      <c r="H148" s="3">
        <f t="shared" si="13"/>
        <v>-198</v>
      </c>
      <c r="I148" s="21">
        <f t="shared" si="14"/>
        <v>58.04302151075538</v>
      </c>
      <c r="J148" s="17"/>
    </row>
    <row r="149" spans="1:10" ht="13.5">
      <c r="A149" s="1">
        <v>15</v>
      </c>
      <c r="B149" s="2" t="s">
        <v>146</v>
      </c>
      <c r="C149" s="3">
        <v>1039</v>
      </c>
      <c r="D149" s="3">
        <v>1</v>
      </c>
      <c r="E149" s="3">
        <v>2</v>
      </c>
      <c r="F149" s="3">
        <f t="shared" si="15"/>
        <v>1036</v>
      </c>
      <c r="G149" s="3">
        <v>1606</v>
      </c>
      <c r="H149" s="3">
        <f t="shared" si="13"/>
        <v>-570</v>
      </c>
      <c r="I149" s="21">
        <f t="shared" si="14"/>
        <v>167.0935467733867</v>
      </c>
      <c r="J149" s="17"/>
    </row>
    <row r="150" spans="1:10" ht="13.5">
      <c r="A150" s="1">
        <v>16</v>
      </c>
      <c r="B150" s="2" t="s">
        <v>147</v>
      </c>
      <c r="C150" s="3">
        <v>779</v>
      </c>
      <c r="D150" s="3">
        <v>1</v>
      </c>
      <c r="E150" s="3">
        <v>1</v>
      </c>
      <c r="F150" s="3">
        <f t="shared" si="15"/>
        <v>777</v>
      </c>
      <c r="G150" s="3">
        <v>1081</v>
      </c>
      <c r="H150" s="3">
        <f t="shared" si="13"/>
        <v>-304</v>
      </c>
      <c r="I150" s="21">
        <f t="shared" si="14"/>
        <v>89.11655827913957</v>
      </c>
      <c r="J150" s="17"/>
    </row>
    <row r="151" spans="1:10" ht="13.5">
      <c r="A151" s="1">
        <v>17</v>
      </c>
      <c r="B151" s="2" t="s">
        <v>148</v>
      </c>
      <c r="C151" s="3">
        <v>631</v>
      </c>
      <c r="D151" s="3">
        <v>1</v>
      </c>
      <c r="E151" s="3">
        <v>9</v>
      </c>
      <c r="F151" s="3">
        <f t="shared" si="15"/>
        <v>621</v>
      </c>
      <c r="G151" s="3">
        <v>603</v>
      </c>
      <c r="H151" s="3">
        <v>0</v>
      </c>
      <c r="I151" s="21">
        <f t="shared" si="14"/>
        <v>0</v>
      </c>
      <c r="J151" s="17">
        <f>F151-G151</f>
        <v>18</v>
      </c>
    </row>
    <row r="152" spans="1:10" ht="13.5">
      <c r="A152" s="1">
        <v>18</v>
      </c>
      <c r="B152" s="2" t="s">
        <v>149</v>
      </c>
      <c r="C152" s="3">
        <v>386</v>
      </c>
      <c r="D152" s="3">
        <v>2</v>
      </c>
      <c r="E152" s="3">
        <v>4</v>
      </c>
      <c r="F152" s="3">
        <f t="shared" si="15"/>
        <v>380</v>
      </c>
      <c r="G152" s="3">
        <v>379</v>
      </c>
      <c r="H152" s="3">
        <v>0</v>
      </c>
      <c r="I152" s="21">
        <f t="shared" si="14"/>
        <v>0</v>
      </c>
      <c r="J152" s="17">
        <f>F152-G152</f>
        <v>1</v>
      </c>
    </row>
    <row r="153" spans="1:10" ht="13.5">
      <c r="A153" s="1">
        <v>19</v>
      </c>
      <c r="B153" s="2" t="s">
        <v>150</v>
      </c>
      <c r="C153" s="3">
        <v>2619</v>
      </c>
      <c r="D153" s="3">
        <v>17</v>
      </c>
      <c r="E153" s="3">
        <v>32</v>
      </c>
      <c r="F153" s="3">
        <f t="shared" si="15"/>
        <v>2570</v>
      </c>
      <c r="G153" s="3">
        <v>2792</v>
      </c>
      <c r="H153" s="3">
        <f t="shared" si="13"/>
        <v>-222</v>
      </c>
      <c r="I153" s="21">
        <f t="shared" si="14"/>
        <v>65.07853926963482</v>
      </c>
      <c r="J153" s="17"/>
    </row>
    <row r="154" spans="1:10" ht="13.5">
      <c r="A154" s="1">
        <v>20</v>
      </c>
      <c r="B154" s="2" t="s">
        <v>151</v>
      </c>
      <c r="C154" s="3">
        <v>459</v>
      </c>
      <c r="D154" s="3">
        <v>5</v>
      </c>
      <c r="E154" s="3">
        <v>7</v>
      </c>
      <c r="F154" s="3">
        <f t="shared" si="15"/>
        <v>447</v>
      </c>
      <c r="G154" s="3">
        <v>593</v>
      </c>
      <c r="H154" s="3">
        <f t="shared" si="13"/>
        <v>-146</v>
      </c>
      <c r="I154" s="21">
        <f t="shared" si="14"/>
        <v>42.79939969984992</v>
      </c>
      <c r="J154" s="17"/>
    </row>
    <row r="155" spans="1:10" ht="13.5">
      <c r="A155" s="1">
        <v>21</v>
      </c>
      <c r="B155" s="2" t="s">
        <v>152</v>
      </c>
      <c r="C155" s="3">
        <v>1039</v>
      </c>
      <c r="D155" s="3">
        <v>1</v>
      </c>
      <c r="E155" s="3">
        <v>2</v>
      </c>
      <c r="F155" s="3">
        <f t="shared" si="15"/>
        <v>1036</v>
      </c>
      <c r="G155" s="3">
        <v>2018</v>
      </c>
      <c r="H155" s="3">
        <f t="shared" si="13"/>
        <v>-982</v>
      </c>
      <c r="I155" s="21">
        <f t="shared" si="14"/>
        <v>287.86993496748374</v>
      </c>
      <c r="J155" s="17"/>
    </row>
    <row r="156" spans="1:10" ht="13.5">
      <c r="A156" s="1">
        <v>22</v>
      </c>
      <c r="B156" s="2" t="s">
        <v>153</v>
      </c>
      <c r="C156" s="3">
        <v>563</v>
      </c>
      <c r="D156" s="3">
        <v>2</v>
      </c>
      <c r="E156" s="3">
        <v>4</v>
      </c>
      <c r="F156" s="3">
        <f t="shared" si="15"/>
        <v>557</v>
      </c>
      <c r="G156" s="3">
        <v>528</v>
      </c>
      <c r="H156" s="3">
        <v>0</v>
      </c>
      <c r="I156" s="21">
        <f t="shared" si="14"/>
        <v>0</v>
      </c>
      <c r="J156" s="17">
        <f>F156-G156</f>
        <v>29</v>
      </c>
    </row>
    <row r="157" spans="1:10" ht="13.5">
      <c r="A157" s="1">
        <v>23</v>
      </c>
      <c r="B157" s="2" t="s">
        <v>154</v>
      </c>
      <c r="C157" s="3">
        <v>672</v>
      </c>
      <c r="D157" s="3">
        <v>3</v>
      </c>
      <c r="E157" s="3">
        <v>8</v>
      </c>
      <c r="F157" s="3">
        <f t="shared" si="15"/>
        <v>661</v>
      </c>
      <c r="G157" s="3">
        <v>661</v>
      </c>
      <c r="H157" s="3">
        <f t="shared" si="13"/>
        <v>0</v>
      </c>
      <c r="I157" s="21">
        <f t="shared" si="14"/>
        <v>0</v>
      </c>
      <c r="J157" s="17">
        <f>F157-G157</f>
        <v>0</v>
      </c>
    </row>
    <row r="158" spans="1:10" ht="13.5">
      <c r="A158" s="1">
        <v>24</v>
      </c>
      <c r="B158" s="2" t="s">
        <v>155</v>
      </c>
      <c r="C158" s="3">
        <v>1018</v>
      </c>
      <c r="D158" s="3">
        <v>2</v>
      </c>
      <c r="E158" s="3">
        <v>15</v>
      </c>
      <c r="F158" s="3">
        <f t="shared" si="15"/>
        <v>1001</v>
      </c>
      <c r="G158" s="3">
        <v>1001</v>
      </c>
      <c r="H158" s="3">
        <f t="shared" si="13"/>
        <v>0</v>
      </c>
      <c r="I158" s="21">
        <f t="shared" si="14"/>
        <v>0</v>
      </c>
      <c r="J158" s="17">
        <f>F158-G158</f>
        <v>0</v>
      </c>
    </row>
    <row r="159" spans="1:10" ht="13.5">
      <c r="A159" s="1">
        <v>25</v>
      </c>
      <c r="B159" s="2" t="s">
        <v>156</v>
      </c>
      <c r="C159" s="3"/>
      <c r="D159" s="3"/>
      <c r="E159" s="3"/>
      <c r="F159" s="3">
        <f t="shared" si="15"/>
        <v>0</v>
      </c>
      <c r="G159" s="3"/>
      <c r="H159" s="3">
        <f t="shared" si="13"/>
        <v>0</v>
      </c>
      <c r="I159" s="21">
        <f t="shared" si="14"/>
        <v>0</v>
      </c>
      <c r="J159" s="17">
        <f>F159-G159</f>
        <v>0</v>
      </c>
    </row>
    <row r="160" spans="1:10" ht="13.5">
      <c r="A160" s="14" t="s">
        <v>460</v>
      </c>
      <c r="B160" s="15" t="s">
        <v>157</v>
      </c>
      <c r="C160" s="16">
        <f>SUM(C161:C195)</f>
        <v>37418</v>
      </c>
      <c r="D160" s="16">
        <f>SUM(D161:D195)</f>
        <v>175</v>
      </c>
      <c r="E160" s="16">
        <f>SUM(E161:E195)</f>
        <v>525</v>
      </c>
      <c r="F160" s="16">
        <f t="shared" si="15"/>
        <v>36718</v>
      </c>
      <c r="G160" s="16">
        <f>SUM(G161:G195)</f>
        <v>38643</v>
      </c>
      <c r="H160" s="16">
        <f>SUM(H161:H195)</f>
        <v>-3635</v>
      </c>
      <c r="I160" s="23">
        <f>H160/-45579*13363</f>
        <v>1065.7211654490006</v>
      </c>
      <c r="J160" s="17"/>
    </row>
    <row r="161" spans="1:10" ht="13.5">
      <c r="A161" s="1">
        <v>1</v>
      </c>
      <c r="B161" s="2" t="s">
        <v>158</v>
      </c>
      <c r="C161" s="3">
        <v>1409</v>
      </c>
      <c r="D161" s="3">
        <v>5</v>
      </c>
      <c r="E161" s="3">
        <v>14</v>
      </c>
      <c r="F161" s="3">
        <f t="shared" si="15"/>
        <v>1390</v>
      </c>
      <c r="G161" s="3">
        <v>1284</v>
      </c>
      <c r="H161" s="3">
        <v>0</v>
      </c>
      <c r="I161" s="21">
        <f>H161/-3635*1066</f>
        <v>0</v>
      </c>
      <c r="J161" s="17">
        <f>F161-G161</f>
        <v>106</v>
      </c>
    </row>
    <row r="162" spans="1:10" ht="13.5">
      <c r="A162" s="1">
        <v>2</v>
      </c>
      <c r="B162" s="2" t="s">
        <v>159</v>
      </c>
      <c r="C162" s="3">
        <v>1779</v>
      </c>
      <c r="D162" s="3">
        <v>10</v>
      </c>
      <c r="E162" s="3">
        <v>33</v>
      </c>
      <c r="F162" s="3">
        <f t="shared" si="15"/>
        <v>1736</v>
      </c>
      <c r="G162" s="3">
        <v>1567</v>
      </c>
      <c r="H162" s="3">
        <v>0</v>
      </c>
      <c r="I162" s="21">
        <f aca="true" t="shared" si="16" ref="I162:I195">H162/-3635*1066</f>
        <v>0</v>
      </c>
      <c r="J162" s="17">
        <f>F162-G162</f>
        <v>169</v>
      </c>
    </row>
    <row r="163" spans="1:10" ht="13.5">
      <c r="A163" s="1">
        <v>3</v>
      </c>
      <c r="B163" s="2" t="s">
        <v>160</v>
      </c>
      <c r="C163" s="3">
        <v>924</v>
      </c>
      <c r="D163" s="3">
        <v>3</v>
      </c>
      <c r="E163" s="3">
        <v>15</v>
      </c>
      <c r="F163" s="3">
        <f t="shared" si="15"/>
        <v>906</v>
      </c>
      <c r="G163" s="3">
        <v>732</v>
      </c>
      <c r="H163" s="3">
        <v>0</v>
      </c>
      <c r="I163" s="21">
        <f t="shared" si="16"/>
        <v>0</v>
      </c>
      <c r="J163" s="17">
        <f>F163-G163</f>
        <v>174</v>
      </c>
    </row>
    <row r="164" spans="1:10" ht="13.5">
      <c r="A164" s="1">
        <v>4</v>
      </c>
      <c r="B164" s="2" t="s">
        <v>161</v>
      </c>
      <c r="C164" s="3">
        <v>819</v>
      </c>
      <c r="D164" s="3">
        <v>5</v>
      </c>
      <c r="E164" s="3">
        <v>12</v>
      </c>
      <c r="F164" s="3">
        <f t="shared" si="15"/>
        <v>802</v>
      </c>
      <c r="G164" s="3">
        <v>1542</v>
      </c>
      <c r="H164" s="3">
        <f t="shared" si="13"/>
        <v>-740</v>
      </c>
      <c r="I164" s="21">
        <f t="shared" si="16"/>
        <v>217.0123796423659</v>
      </c>
      <c r="J164" s="17"/>
    </row>
    <row r="165" spans="1:10" ht="13.5">
      <c r="A165" s="1">
        <v>5</v>
      </c>
      <c r="B165" s="2" t="s">
        <v>162</v>
      </c>
      <c r="C165" s="3">
        <v>1355</v>
      </c>
      <c r="D165" s="3">
        <v>12</v>
      </c>
      <c r="E165" s="3">
        <v>15</v>
      </c>
      <c r="F165" s="3">
        <f t="shared" si="15"/>
        <v>1328</v>
      </c>
      <c r="G165" s="3">
        <v>1440</v>
      </c>
      <c r="H165" s="3">
        <f t="shared" si="13"/>
        <v>-112</v>
      </c>
      <c r="I165" s="21">
        <f t="shared" si="16"/>
        <v>32.84511691884457</v>
      </c>
      <c r="J165" s="17"/>
    </row>
    <row r="166" spans="1:10" ht="13.5">
      <c r="A166" s="1">
        <v>6</v>
      </c>
      <c r="B166" s="2" t="s">
        <v>163</v>
      </c>
      <c r="C166" s="3">
        <v>1237</v>
      </c>
      <c r="D166" s="3">
        <v>7</v>
      </c>
      <c r="E166" s="3">
        <v>28</v>
      </c>
      <c r="F166" s="3">
        <f t="shared" si="15"/>
        <v>1202</v>
      </c>
      <c r="G166" s="3">
        <v>1206</v>
      </c>
      <c r="H166" s="3">
        <f t="shared" si="13"/>
        <v>-4</v>
      </c>
      <c r="I166" s="21">
        <f t="shared" si="16"/>
        <v>1.1730398899587344</v>
      </c>
      <c r="J166" s="17"/>
    </row>
    <row r="167" spans="1:10" ht="13.5">
      <c r="A167" s="1">
        <v>7</v>
      </c>
      <c r="B167" s="2" t="s">
        <v>164</v>
      </c>
      <c r="C167" s="3">
        <v>711</v>
      </c>
      <c r="D167" s="3">
        <v>4</v>
      </c>
      <c r="E167" s="3">
        <v>8</v>
      </c>
      <c r="F167" s="3">
        <f t="shared" si="15"/>
        <v>699</v>
      </c>
      <c r="G167" s="3">
        <v>922</v>
      </c>
      <c r="H167" s="3">
        <f t="shared" si="13"/>
        <v>-223</v>
      </c>
      <c r="I167" s="21">
        <f t="shared" si="16"/>
        <v>65.39697386519946</v>
      </c>
      <c r="J167" s="17"/>
    </row>
    <row r="168" spans="1:10" ht="13.5">
      <c r="A168" s="1">
        <v>8</v>
      </c>
      <c r="B168" s="2" t="s">
        <v>165</v>
      </c>
      <c r="C168" s="3">
        <v>1372</v>
      </c>
      <c r="D168" s="3">
        <v>6</v>
      </c>
      <c r="E168" s="3">
        <v>16</v>
      </c>
      <c r="F168" s="3">
        <f t="shared" si="15"/>
        <v>1350</v>
      </c>
      <c r="G168" s="3">
        <v>904</v>
      </c>
      <c r="H168" s="3">
        <v>0</v>
      </c>
      <c r="I168" s="21">
        <f t="shared" si="16"/>
        <v>0</v>
      </c>
      <c r="J168" s="17">
        <f>F168-G168</f>
        <v>446</v>
      </c>
    </row>
    <row r="169" spans="1:10" ht="13.5">
      <c r="A169" s="1">
        <v>9</v>
      </c>
      <c r="B169" s="2" t="s">
        <v>166</v>
      </c>
      <c r="C169" s="3">
        <v>1552</v>
      </c>
      <c r="D169" s="3">
        <v>5</v>
      </c>
      <c r="E169" s="3">
        <v>16</v>
      </c>
      <c r="F169" s="3">
        <f t="shared" si="15"/>
        <v>1531</v>
      </c>
      <c r="G169" s="3">
        <v>1549</v>
      </c>
      <c r="H169" s="3">
        <f t="shared" si="13"/>
        <v>-18</v>
      </c>
      <c r="I169" s="21">
        <f t="shared" si="16"/>
        <v>5.278679504814305</v>
      </c>
      <c r="J169" s="17"/>
    </row>
    <row r="170" spans="1:10" ht="13.5">
      <c r="A170" s="1">
        <v>10</v>
      </c>
      <c r="B170" s="2" t="s">
        <v>167</v>
      </c>
      <c r="C170" s="3">
        <v>2627</v>
      </c>
      <c r="D170" s="3">
        <v>33</v>
      </c>
      <c r="E170" s="3">
        <v>79</v>
      </c>
      <c r="F170" s="3">
        <f t="shared" si="15"/>
        <v>2515</v>
      </c>
      <c r="G170" s="3">
        <v>2316</v>
      </c>
      <c r="H170" s="3">
        <v>0</v>
      </c>
      <c r="I170" s="21">
        <f t="shared" si="16"/>
        <v>0</v>
      </c>
      <c r="J170" s="17">
        <f>F170-G170</f>
        <v>199</v>
      </c>
    </row>
    <row r="171" spans="1:10" ht="13.5">
      <c r="A171" s="1">
        <v>11</v>
      </c>
      <c r="B171" s="2" t="s">
        <v>168</v>
      </c>
      <c r="C171" s="3">
        <v>1532</v>
      </c>
      <c r="D171" s="3">
        <v>5</v>
      </c>
      <c r="E171" s="3">
        <v>26</v>
      </c>
      <c r="F171" s="3">
        <f t="shared" si="15"/>
        <v>1501</v>
      </c>
      <c r="G171" s="3">
        <v>1308</v>
      </c>
      <c r="H171" s="3">
        <v>0</v>
      </c>
      <c r="I171" s="21">
        <f t="shared" si="16"/>
        <v>0</v>
      </c>
      <c r="J171" s="17">
        <f>F171-G171</f>
        <v>193</v>
      </c>
    </row>
    <row r="172" spans="1:10" ht="13.5">
      <c r="A172" s="1">
        <v>12</v>
      </c>
      <c r="B172" s="2" t="s">
        <v>169</v>
      </c>
      <c r="C172" s="3">
        <v>1403</v>
      </c>
      <c r="D172" s="3">
        <v>4</v>
      </c>
      <c r="E172" s="3">
        <v>23</v>
      </c>
      <c r="F172" s="3">
        <f t="shared" si="15"/>
        <v>1376</v>
      </c>
      <c r="G172" s="3">
        <v>1760</v>
      </c>
      <c r="H172" s="3">
        <f t="shared" si="13"/>
        <v>-384</v>
      </c>
      <c r="I172" s="21">
        <f t="shared" si="16"/>
        <v>112.61182943603852</v>
      </c>
      <c r="J172" s="17"/>
    </row>
    <row r="173" spans="1:10" ht="13.5">
      <c r="A173" s="1">
        <v>13</v>
      </c>
      <c r="B173" s="2" t="s">
        <v>170</v>
      </c>
      <c r="C173" s="3">
        <v>1435</v>
      </c>
      <c r="D173" s="3">
        <v>9</v>
      </c>
      <c r="E173" s="3">
        <v>26</v>
      </c>
      <c r="F173" s="3">
        <f t="shared" si="15"/>
        <v>1400</v>
      </c>
      <c r="G173" s="3">
        <v>1261</v>
      </c>
      <c r="H173" s="3">
        <v>0</v>
      </c>
      <c r="I173" s="21">
        <f t="shared" si="16"/>
        <v>0</v>
      </c>
      <c r="J173" s="17">
        <f>F173-G173</f>
        <v>139</v>
      </c>
    </row>
    <row r="174" spans="1:10" ht="13.5">
      <c r="A174" s="1">
        <v>14</v>
      </c>
      <c r="B174" s="2" t="s">
        <v>171</v>
      </c>
      <c r="C174" s="3">
        <v>1442</v>
      </c>
      <c r="D174" s="3">
        <v>2</v>
      </c>
      <c r="E174" s="3">
        <v>18</v>
      </c>
      <c r="F174" s="3">
        <f t="shared" si="15"/>
        <v>1422</v>
      </c>
      <c r="G174" s="3">
        <v>1412</v>
      </c>
      <c r="H174" s="3">
        <v>0</v>
      </c>
      <c r="I174" s="21">
        <f t="shared" si="16"/>
        <v>0</v>
      </c>
      <c r="J174" s="17">
        <f>F174-G174</f>
        <v>10</v>
      </c>
    </row>
    <row r="175" spans="1:10" ht="13.5">
      <c r="A175" s="1">
        <v>15</v>
      </c>
      <c r="B175" s="2" t="s">
        <v>172</v>
      </c>
      <c r="C175" s="3">
        <v>1127</v>
      </c>
      <c r="D175" s="3">
        <v>4</v>
      </c>
      <c r="E175" s="3">
        <v>12</v>
      </c>
      <c r="F175" s="3">
        <f t="shared" si="15"/>
        <v>1111</v>
      </c>
      <c r="G175" s="3">
        <v>1119</v>
      </c>
      <c r="H175" s="3">
        <f t="shared" si="13"/>
        <v>-8</v>
      </c>
      <c r="I175" s="21">
        <f t="shared" si="16"/>
        <v>2.346079779917469</v>
      </c>
      <c r="J175" s="17"/>
    </row>
    <row r="176" spans="1:10" ht="13.5">
      <c r="A176" s="1">
        <v>16</v>
      </c>
      <c r="B176" s="2" t="s">
        <v>173</v>
      </c>
      <c r="C176" s="3">
        <v>907</v>
      </c>
      <c r="D176" s="3">
        <v>1</v>
      </c>
      <c r="E176" s="3">
        <v>4</v>
      </c>
      <c r="F176" s="3">
        <f t="shared" si="15"/>
        <v>902</v>
      </c>
      <c r="G176" s="3">
        <v>1041</v>
      </c>
      <c r="H176" s="3">
        <f t="shared" si="13"/>
        <v>-139</v>
      </c>
      <c r="I176" s="21">
        <f t="shared" si="16"/>
        <v>40.76313617606603</v>
      </c>
      <c r="J176" s="17"/>
    </row>
    <row r="177" spans="1:10" ht="13.5">
      <c r="A177" s="1">
        <v>17</v>
      </c>
      <c r="B177" s="2" t="s">
        <v>174</v>
      </c>
      <c r="C177" s="3">
        <v>651</v>
      </c>
      <c r="D177" s="3">
        <v>2</v>
      </c>
      <c r="E177" s="3">
        <v>6</v>
      </c>
      <c r="F177" s="3">
        <f t="shared" si="15"/>
        <v>643</v>
      </c>
      <c r="G177" s="3">
        <v>691</v>
      </c>
      <c r="H177" s="3">
        <f t="shared" si="13"/>
        <v>-48</v>
      </c>
      <c r="I177" s="21">
        <f t="shared" si="16"/>
        <v>14.076478679504815</v>
      </c>
      <c r="J177" s="17"/>
    </row>
    <row r="178" spans="1:10" ht="13.5">
      <c r="A178" s="1">
        <v>18</v>
      </c>
      <c r="B178" s="2" t="s">
        <v>175</v>
      </c>
      <c r="C178" s="3">
        <v>1199</v>
      </c>
      <c r="D178" s="3">
        <v>4</v>
      </c>
      <c r="E178" s="3">
        <v>11</v>
      </c>
      <c r="F178" s="3">
        <f t="shared" si="15"/>
        <v>1184</v>
      </c>
      <c r="G178" s="3">
        <v>1392</v>
      </c>
      <c r="H178" s="3">
        <f t="shared" si="13"/>
        <v>-208</v>
      </c>
      <c r="I178" s="21">
        <f t="shared" si="16"/>
        <v>60.998074277854194</v>
      </c>
      <c r="J178" s="17"/>
    </row>
    <row r="179" spans="1:10" ht="13.5">
      <c r="A179" s="1">
        <v>19</v>
      </c>
      <c r="B179" s="2" t="s">
        <v>176</v>
      </c>
      <c r="C179" s="3">
        <v>813</v>
      </c>
      <c r="D179" s="3">
        <v>3</v>
      </c>
      <c r="E179" s="3">
        <v>9</v>
      </c>
      <c r="F179" s="3">
        <f t="shared" si="15"/>
        <v>801</v>
      </c>
      <c r="G179" s="3">
        <v>655</v>
      </c>
      <c r="H179" s="3">
        <v>0</v>
      </c>
      <c r="I179" s="21">
        <f t="shared" si="16"/>
        <v>0</v>
      </c>
      <c r="J179" s="17">
        <f>F179-G179</f>
        <v>146</v>
      </c>
    </row>
    <row r="180" spans="1:10" ht="13.5">
      <c r="A180" s="1">
        <v>20</v>
      </c>
      <c r="B180" s="2" t="s">
        <v>177</v>
      </c>
      <c r="C180" s="3">
        <v>649</v>
      </c>
      <c r="D180" s="3">
        <v>1</v>
      </c>
      <c r="E180" s="3">
        <v>3</v>
      </c>
      <c r="F180" s="3">
        <f t="shared" si="15"/>
        <v>645</v>
      </c>
      <c r="G180" s="3">
        <v>756</v>
      </c>
      <c r="H180" s="3">
        <f t="shared" si="13"/>
        <v>-111</v>
      </c>
      <c r="I180" s="21">
        <f t="shared" si="16"/>
        <v>32.55185694635488</v>
      </c>
      <c r="J180" s="17"/>
    </row>
    <row r="181" spans="1:10" ht="13.5">
      <c r="A181" s="1">
        <v>21</v>
      </c>
      <c r="B181" s="2" t="s">
        <v>178</v>
      </c>
      <c r="C181" s="3">
        <v>756</v>
      </c>
      <c r="D181" s="3">
        <v>2</v>
      </c>
      <c r="E181" s="3">
        <v>4</v>
      </c>
      <c r="F181" s="3">
        <f t="shared" si="15"/>
        <v>750</v>
      </c>
      <c r="G181" s="3">
        <v>794</v>
      </c>
      <c r="H181" s="3">
        <f t="shared" si="13"/>
        <v>-44</v>
      </c>
      <c r="I181" s="21">
        <f t="shared" si="16"/>
        <v>12.90343878954608</v>
      </c>
      <c r="J181" s="17"/>
    </row>
    <row r="182" spans="1:10" ht="13.5">
      <c r="A182" s="1">
        <v>22</v>
      </c>
      <c r="B182" s="2" t="s">
        <v>179</v>
      </c>
      <c r="C182" s="3">
        <v>1091</v>
      </c>
      <c r="D182" s="3">
        <v>2</v>
      </c>
      <c r="E182" s="3">
        <v>3</v>
      </c>
      <c r="F182" s="3">
        <f t="shared" si="15"/>
        <v>1086</v>
      </c>
      <c r="G182" s="3">
        <v>1021</v>
      </c>
      <c r="H182" s="3">
        <v>0</v>
      </c>
      <c r="I182" s="21">
        <f t="shared" si="16"/>
        <v>0</v>
      </c>
      <c r="J182" s="17">
        <f>F182-G182</f>
        <v>65</v>
      </c>
    </row>
    <row r="183" spans="1:10" ht="13.5">
      <c r="A183" s="1">
        <v>23</v>
      </c>
      <c r="B183" s="2" t="s">
        <v>180</v>
      </c>
      <c r="C183" s="3">
        <v>783</v>
      </c>
      <c r="D183" s="3"/>
      <c r="E183" s="3">
        <v>9</v>
      </c>
      <c r="F183" s="3">
        <f t="shared" si="15"/>
        <v>774</v>
      </c>
      <c r="G183" s="3">
        <v>736</v>
      </c>
      <c r="H183" s="3">
        <v>0</v>
      </c>
      <c r="I183" s="21">
        <f t="shared" si="16"/>
        <v>0</v>
      </c>
      <c r="J183" s="17">
        <f>F183-G183</f>
        <v>38</v>
      </c>
    </row>
    <row r="184" spans="1:10" ht="13.5">
      <c r="A184" s="1">
        <v>24</v>
      </c>
      <c r="B184" s="2" t="s">
        <v>181</v>
      </c>
      <c r="C184" s="3">
        <v>888</v>
      </c>
      <c r="D184" s="3">
        <v>5</v>
      </c>
      <c r="E184" s="3">
        <v>7</v>
      </c>
      <c r="F184" s="3">
        <f t="shared" si="15"/>
        <v>876</v>
      </c>
      <c r="G184" s="3">
        <v>1009</v>
      </c>
      <c r="H184" s="3">
        <f t="shared" si="13"/>
        <v>-133</v>
      </c>
      <c r="I184" s="21">
        <f t="shared" si="16"/>
        <v>39.003576341127925</v>
      </c>
      <c r="J184" s="17"/>
    </row>
    <row r="185" spans="1:10" ht="13.5">
      <c r="A185" s="1">
        <v>25</v>
      </c>
      <c r="B185" s="2" t="s">
        <v>182</v>
      </c>
      <c r="C185" s="3">
        <v>670</v>
      </c>
      <c r="D185" s="3"/>
      <c r="E185" s="3">
        <v>1</v>
      </c>
      <c r="F185" s="3">
        <f t="shared" si="15"/>
        <v>669</v>
      </c>
      <c r="G185" s="3">
        <v>927</v>
      </c>
      <c r="H185" s="3">
        <f t="shared" si="13"/>
        <v>-258</v>
      </c>
      <c r="I185" s="21">
        <f t="shared" si="16"/>
        <v>75.66107290233838</v>
      </c>
      <c r="J185" s="17"/>
    </row>
    <row r="186" spans="1:10" ht="13.5">
      <c r="A186" s="1">
        <v>26</v>
      </c>
      <c r="B186" s="2" t="s">
        <v>183</v>
      </c>
      <c r="C186" s="3">
        <v>699</v>
      </c>
      <c r="D186" s="3">
        <v>2</v>
      </c>
      <c r="E186" s="3">
        <v>4</v>
      </c>
      <c r="F186" s="3">
        <f t="shared" si="15"/>
        <v>693</v>
      </c>
      <c r="G186" s="3">
        <v>894</v>
      </c>
      <c r="H186" s="3">
        <f t="shared" si="13"/>
        <v>-201</v>
      </c>
      <c r="I186" s="21">
        <f t="shared" si="16"/>
        <v>58.945254470426406</v>
      </c>
      <c r="J186" s="17"/>
    </row>
    <row r="187" spans="1:10" ht="13.5">
      <c r="A187" s="1">
        <v>27</v>
      </c>
      <c r="B187" s="2" t="s">
        <v>184</v>
      </c>
      <c r="C187" s="3">
        <v>906</v>
      </c>
      <c r="D187" s="3">
        <v>2</v>
      </c>
      <c r="E187" s="3">
        <v>3</v>
      </c>
      <c r="F187" s="3">
        <f t="shared" si="15"/>
        <v>901</v>
      </c>
      <c r="G187" s="3">
        <v>1294</v>
      </c>
      <c r="H187" s="3">
        <f t="shared" si="13"/>
        <v>-393</v>
      </c>
      <c r="I187" s="21">
        <f t="shared" si="16"/>
        <v>115.25116918844567</v>
      </c>
      <c r="J187" s="17"/>
    </row>
    <row r="188" spans="1:10" ht="13.5">
      <c r="A188" s="1">
        <v>28</v>
      </c>
      <c r="B188" s="2" t="s">
        <v>185</v>
      </c>
      <c r="C188" s="3">
        <v>987</v>
      </c>
      <c r="D188" s="3">
        <v>1</v>
      </c>
      <c r="E188" s="3">
        <v>13</v>
      </c>
      <c r="F188" s="3">
        <f t="shared" si="15"/>
        <v>973</v>
      </c>
      <c r="G188" s="3">
        <v>1191</v>
      </c>
      <c r="H188" s="3">
        <f t="shared" si="13"/>
        <v>-218</v>
      </c>
      <c r="I188" s="21">
        <f t="shared" si="16"/>
        <v>63.93067400275103</v>
      </c>
      <c r="J188" s="17"/>
    </row>
    <row r="189" spans="1:10" ht="13.5">
      <c r="A189" s="1">
        <v>29</v>
      </c>
      <c r="B189" s="2" t="s">
        <v>186</v>
      </c>
      <c r="C189" s="3">
        <v>974</v>
      </c>
      <c r="D189" s="3">
        <v>2</v>
      </c>
      <c r="E189" s="3">
        <v>8</v>
      </c>
      <c r="F189" s="3">
        <f t="shared" si="15"/>
        <v>964</v>
      </c>
      <c r="G189" s="3">
        <v>1267</v>
      </c>
      <c r="H189" s="3">
        <f t="shared" si="13"/>
        <v>-303</v>
      </c>
      <c r="I189" s="21">
        <f t="shared" si="16"/>
        <v>88.85777166437414</v>
      </c>
      <c r="J189" s="17"/>
    </row>
    <row r="190" spans="1:10" ht="13.5">
      <c r="A190" s="1">
        <v>30</v>
      </c>
      <c r="B190" s="2" t="s">
        <v>187</v>
      </c>
      <c r="C190" s="3">
        <v>495</v>
      </c>
      <c r="D190" s="3">
        <v>4</v>
      </c>
      <c r="E190" s="3">
        <v>9</v>
      </c>
      <c r="F190" s="3">
        <f t="shared" si="15"/>
        <v>482</v>
      </c>
      <c r="G190" s="3">
        <v>503</v>
      </c>
      <c r="H190" s="3">
        <f t="shared" si="13"/>
        <v>-21</v>
      </c>
      <c r="I190" s="21">
        <f t="shared" si="16"/>
        <v>6.158459422283356</v>
      </c>
      <c r="J190" s="17"/>
    </row>
    <row r="191" spans="1:10" ht="13.5">
      <c r="A191" s="1">
        <v>31</v>
      </c>
      <c r="B191" s="2" t="s">
        <v>188</v>
      </c>
      <c r="C191" s="3">
        <v>1315</v>
      </c>
      <c r="D191" s="3">
        <v>14</v>
      </c>
      <c r="E191" s="3">
        <v>49</v>
      </c>
      <c r="F191" s="3">
        <f t="shared" si="15"/>
        <v>1252</v>
      </c>
      <c r="G191" s="3">
        <v>1231</v>
      </c>
      <c r="H191" s="3">
        <v>0</v>
      </c>
      <c r="I191" s="21">
        <f t="shared" si="16"/>
        <v>0</v>
      </c>
      <c r="J191" s="17">
        <f>F191-G191</f>
        <v>21</v>
      </c>
    </row>
    <row r="192" spans="1:10" ht="13.5">
      <c r="A192" s="1">
        <v>32</v>
      </c>
      <c r="B192" s="2" t="s">
        <v>189</v>
      </c>
      <c r="C192" s="3">
        <v>367</v>
      </c>
      <c r="D192" s="3">
        <v>2</v>
      </c>
      <c r="E192" s="3">
        <v>9</v>
      </c>
      <c r="F192" s="3">
        <f t="shared" si="15"/>
        <v>356</v>
      </c>
      <c r="G192" s="3">
        <v>359</v>
      </c>
      <c r="H192" s="3">
        <f t="shared" si="13"/>
        <v>-3</v>
      </c>
      <c r="I192" s="21">
        <f t="shared" si="16"/>
        <v>0.8797799174690509</v>
      </c>
      <c r="J192" s="17"/>
    </row>
    <row r="193" spans="1:10" ht="13.5">
      <c r="A193" s="1">
        <v>33</v>
      </c>
      <c r="B193" s="2" t="s">
        <v>190</v>
      </c>
      <c r="C193" s="3">
        <v>1614</v>
      </c>
      <c r="D193" s="3">
        <v>7</v>
      </c>
      <c r="E193" s="3">
        <v>25</v>
      </c>
      <c r="F193" s="3">
        <f t="shared" si="15"/>
        <v>1582</v>
      </c>
      <c r="G193" s="3">
        <v>1642</v>
      </c>
      <c r="H193" s="3">
        <f t="shared" si="13"/>
        <v>-60</v>
      </c>
      <c r="I193" s="21">
        <f t="shared" si="16"/>
        <v>17.595598349381017</v>
      </c>
      <c r="J193" s="17"/>
    </row>
    <row r="194" spans="1:10" ht="13.5">
      <c r="A194" s="1">
        <v>34</v>
      </c>
      <c r="B194" s="2" t="s">
        <v>191</v>
      </c>
      <c r="C194" s="3">
        <v>430</v>
      </c>
      <c r="D194" s="3">
        <v>3</v>
      </c>
      <c r="E194" s="3">
        <v>3</v>
      </c>
      <c r="F194" s="3">
        <f t="shared" si="15"/>
        <v>424</v>
      </c>
      <c r="G194" s="3">
        <v>430</v>
      </c>
      <c r="H194" s="3">
        <f t="shared" si="13"/>
        <v>-6</v>
      </c>
      <c r="I194" s="21">
        <f t="shared" si="16"/>
        <v>1.7595598349381019</v>
      </c>
      <c r="J194" s="17"/>
    </row>
    <row r="195" spans="1:10" ht="13.5">
      <c r="A195" s="1">
        <v>35</v>
      </c>
      <c r="B195" s="2" t="s">
        <v>192</v>
      </c>
      <c r="C195" s="3">
        <v>500</v>
      </c>
      <c r="D195" s="3">
        <v>4</v>
      </c>
      <c r="E195" s="3">
        <v>4</v>
      </c>
      <c r="F195" s="3">
        <f t="shared" si="15"/>
        <v>492</v>
      </c>
      <c r="G195" s="3">
        <v>488</v>
      </c>
      <c r="H195" s="3">
        <v>0</v>
      </c>
      <c r="I195" s="21">
        <f t="shared" si="16"/>
        <v>0</v>
      </c>
      <c r="J195" s="17">
        <f>F195-G195</f>
        <v>4</v>
      </c>
    </row>
    <row r="196" spans="1:10" ht="13.5">
      <c r="A196" s="14" t="s">
        <v>461</v>
      </c>
      <c r="B196" s="15" t="s">
        <v>193</v>
      </c>
      <c r="C196" s="16">
        <f>SUM(C197:C201)</f>
        <v>7359</v>
      </c>
      <c r="D196" s="16">
        <f>SUM(D197:D201)</f>
        <v>68</v>
      </c>
      <c r="E196" s="16">
        <f>SUM(E197:E201)</f>
        <v>207</v>
      </c>
      <c r="F196" s="16">
        <f t="shared" si="15"/>
        <v>7084</v>
      </c>
      <c r="G196" s="16">
        <f>SUM(G197:G201)</f>
        <v>5622</v>
      </c>
      <c r="H196" s="16">
        <f>SUM(H197:H201)</f>
        <v>0</v>
      </c>
      <c r="I196" s="21">
        <v>0</v>
      </c>
      <c r="J196" s="17"/>
    </row>
    <row r="197" spans="1:10" ht="13.5">
      <c r="A197" s="1">
        <v>1</v>
      </c>
      <c r="B197" s="2" t="s">
        <v>194</v>
      </c>
      <c r="C197" s="3">
        <v>1151</v>
      </c>
      <c r="D197" s="3">
        <v>11</v>
      </c>
      <c r="E197" s="3">
        <v>30</v>
      </c>
      <c r="F197" s="3">
        <f t="shared" si="15"/>
        <v>1110</v>
      </c>
      <c r="G197" s="3">
        <v>911</v>
      </c>
      <c r="H197" s="3">
        <v>0</v>
      </c>
      <c r="I197" s="21">
        <v>0</v>
      </c>
      <c r="J197" s="17">
        <f>F197-G197</f>
        <v>199</v>
      </c>
    </row>
    <row r="198" spans="1:10" ht="13.5">
      <c r="A198" s="1">
        <v>2</v>
      </c>
      <c r="B198" s="2" t="s">
        <v>195</v>
      </c>
      <c r="C198" s="3">
        <v>1831</v>
      </c>
      <c r="D198" s="3">
        <v>18</v>
      </c>
      <c r="E198" s="3">
        <v>52</v>
      </c>
      <c r="F198" s="3">
        <f t="shared" si="15"/>
        <v>1761</v>
      </c>
      <c r="G198" s="3">
        <v>1440</v>
      </c>
      <c r="H198" s="3">
        <v>0</v>
      </c>
      <c r="I198" s="21">
        <v>0</v>
      </c>
      <c r="J198" s="17">
        <f>F198-G198</f>
        <v>321</v>
      </c>
    </row>
    <row r="199" spans="1:10" ht="13.5">
      <c r="A199" s="1">
        <v>3</v>
      </c>
      <c r="B199" s="2" t="s">
        <v>196</v>
      </c>
      <c r="C199" s="3">
        <v>1364</v>
      </c>
      <c r="D199" s="3">
        <v>5</v>
      </c>
      <c r="E199" s="3">
        <v>19</v>
      </c>
      <c r="F199" s="3">
        <f t="shared" si="15"/>
        <v>1340</v>
      </c>
      <c r="G199" s="3">
        <v>1241</v>
      </c>
      <c r="H199" s="3">
        <v>0</v>
      </c>
      <c r="I199" s="21">
        <v>0</v>
      </c>
      <c r="J199" s="17">
        <f>F199-G199</f>
        <v>99</v>
      </c>
    </row>
    <row r="200" spans="1:10" ht="13.5">
      <c r="A200" s="1">
        <v>4</v>
      </c>
      <c r="B200" s="2" t="s">
        <v>197</v>
      </c>
      <c r="C200" s="3">
        <v>2116</v>
      </c>
      <c r="D200" s="3">
        <v>18</v>
      </c>
      <c r="E200" s="3">
        <v>70</v>
      </c>
      <c r="F200" s="3">
        <f t="shared" si="15"/>
        <v>2028</v>
      </c>
      <c r="G200" s="3">
        <v>1419</v>
      </c>
      <c r="H200" s="3">
        <v>0</v>
      </c>
      <c r="I200" s="21">
        <v>0</v>
      </c>
      <c r="J200" s="17">
        <f>F200-G200</f>
        <v>609</v>
      </c>
    </row>
    <row r="201" spans="1:10" ht="13.5">
      <c r="A201" s="1">
        <v>5</v>
      </c>
      <c r="B201" s="2" t="s">
        <v>198</v>
      </c>
      <c r="C201" s="3">
        <v>897</v>
      </c>
      <c r="D201" s="3">
        <v>16</v>
      </c>
      <c r="E201" s="3">
        <v>36</v>
      </c>
      <c r="F201" s="3">
        <f t="shared" si="15"/>
        <v>845</v>
      </c>
      <c r="G201" s="3">
        <v>611</v>
      </c>
      <c r="H201" s="3">
        <v>0</v>
      </c>
      <c r="I201" s="21">
        <v>0</v>
      </c>
      <c r="J201" s="17">
        <f>F201-G201</f>
        <v>234</v>
      </c>
    </row>
    <row r="202" spans="1:10" ht="13.5">
      <c r="A202" s="14" t="s">
        <v>462</v>
      </c>
      <c r="B202" s="15" t="s">
        <v>199</v>
      </c>
      <c r="C202" s="16">
        <f>SUM(C203:C240)</f>
        <v>36111</v>
      </c>
      <c r="D202" s="16">
        <f>SUM(D203:D240)</f>
        <v>158</v>
      </c>
      <c r="E202" s="16">
        <f>SUM(E203:E240)</f>
        <v>404</v>
      </c>
      <c r="F202" s="16">
        <f aca="true" t="shared" si="17" ref="F202:F265">C202-E202-D202</f>
        <v>35549</v>
      </c>
      <c r="G202" s="16">
        <f>SUM(G203:G240)</f>
        <v>38740</v>
      </c>
      <c r="H202" s="16">
        <f>SUM(H203:H240)</f>
        <v>-4162</v>
      </c>
      <c r="I202" s="23">
        <f>H202/-45579*13363</f>
        <v>1220.228745694289</v>
      </c>
      <c r="J202" s="17"/>
    </row>
    <row r="203" spans="1:10" ht="13.5">
      <c r="A203" s="1">
        <v>1</v>
      </c>
      <c r="B203" s="2" t="s">
        <v>200</v>
      </c>
      <c r="C203" s="3">
        <v>799</v>
      </c>
      <c r="D203" s="3">
        <v>3</v>
      </c>
      <c r="E203" s="3">
        <v>6</v>
      </c>
      <c r="F203" s="3">
        <f t="shared" si="17"/>
        <v>790</v>
      </c>
      <c r="G203" s="3">
        <v>945</v>
      </c>
      <c r="H203" s="3">
        <f aca="true" t="shared" si="18" ref="H203:H262">F203-G203</f>
        <v>-155</v>
      </c>
      <c r="I203" s="21">
        <f>H203/-4162*1220</f>
        <v>45.43488707352235</v>
      </c>
      <c r="J203" s="17"/>
    </row>
    <row r="204" spans="1:10" ht="13.5">
      <c r="A204" s="1">
        <v>2</v>
      </c>
      <c r="B204" s="2" t="s">
        <v>201</v>
      </c>
      <c r="C204" s="3">
        <v>1259</v>
      </c>
      <c r="D204" s="3">
        <v>1</v>
      </c>
      <c r="E204" s="3">
        <v>16</v>
      </c>
      <c r="F204" s="3">
        <f t="shared" si="17"/>
        <v>1242</v>
      </c>
      <c r="G204" s="3">
        <v>1350</v>
      </c>
      <c r="H204" s="3">
        <f t="shared" si="18"/>
        <v>-108</v>
      </c>
      <c r="I204" s="21">
        <f aca="true" t="shared" si="19" ref="I204:I240">H204/-4162*1220</f>
        <v>31.65785679961557</v>
      </c>
      <c r="J204" s="17"/>
    </row>
    <row r="205" spans="1:10" ht="13.5">
      <c r="A205" s="1">
        <v>3</v>
      </c>
      <c r="B205" s="2" t="s">
        <v>202</v>
      </c>
      <c r="C205" s="3">
        <v>1082</v>
      </c>
      <c r="D205" s="3">
        <v>6</v>
      </c>
      <c r="E205" s="3">
        <v>12</v>
      </c>
      <c r="F205" s="3">
        <f t="shared" si="17"/>
        <v>1064</v>
      </c>
      <c r="G205" s="3">
        <v>942</v>
      </c>
      <c r="H205" s="3">
        <v>0</v>
      </c>
      <c r="I205" s="21">
        <f t="shared" si="19"/>
        <v>0</v>
      </c>
      <c r="J205" s="17">
        <f>F205-G205</f>
        <v>122</v>
      </c>
    </row>
    <row r="206" spans="1:10" ht="13.5">
      <c r="A206" s="1">
        <v>4</v>
      </c>
      <c r="B206" s="2" t="s">
        <v>203</v>
      </c>
      <c r="C206" s="3">
        <v>1556</v>
      </c>
      <c r="D206" s="3">
        <v>2</v>
      </c>
      <c r="E206" s="3">
        <v>29</v>
      </c>
      <c r="F206" s="3">
        <f t="shared" si="17"/>
        <v>1525</v>
      </c>
      <c r="G206" s="3">
        <v>1633</v>
      </c>
      <c r="H206" s="3">
        <f t="shared" si="18"/>
        <v>-108</v>
      </c>
      <c r="I206" s="21">
        <f t="shared" si="19"/>
        <v>31.65785679961557</v>
      </c>
      <c r="J206" s="17"/>
    </row>
    <row r="207" spans="1:10" ht="13.5">
      <c r="A207" s="1">
        <v>5</v>
      </c>
      <c r="B207" s="2" t="s">
        <v>204</v>
      </c>
      <c r="C207" s="3">
        <v>1312</v>
      </c>
      <c r="D207" s="3">
        <v>4</v>
      </c>
      <c r="E207" s="3">
        <v>7</v>
      </c>
      <c r="F207" s="3">
        <f t="shared" si="17"/>
        <v>1301</v>
      </c>
      <c r="G207" s="3">
        <v>1373</v>
      </c>
      <c r="H207" s="3">
        <f t="shared" si="18"/>
        <v>-72</v>
      </c>
      <c r="I207" s="21">
        <f t="shared" si="19"/>
        <v>21.10523786641038</v>
      </c>
      <c r="J207" s="17"/>
    </row>
    <row r="208" spans="1:10" ht="13.5">
      <c r="A208" s="1">
        <v>6</v>
      </c>
      <c r="B208" s="2" t="s">
        <v>205</v>
      </c>
      <c r="C208" s="3">
        <v>1635</v>
      </c>
      <c r="D208" s="3">
        <v>6</v>
      </c>
      <c r="E208" s="3">
        <v>12</v>
      </c>
      <c r="F208" s="3">
        <f t="shared" si="17"/>
        <v>1617</v>
      </c>
      <c r="G208" s="3">
        <v>1617</v>
      </c>
      <c r="H208" s="3">
        <f t="shared" si="18"/>
        <v>0</v>
      </c>
      <c r="I208" s="21">
        <f t="shared" si="19"/>
        <v>0</v>
      </c>
      <c r="J208" s="17"/>
    </row>
    <row r="209" spans="1:10" ht="13.5">
      <c r="A209" s="1">
        <v>7</v>
      </c>
      <c r="B209" s="2" t="s">
        <v>206</v>
      </c>
      <c r="C209" s="3">
        <v>1803</v>
      </c>
      <c r="D209" s="3">
        <v>7</v>
      </c>
      <c r="E209" s="3">
        <v>14</v>
      </c>
      <c r="F209" s="3">
        <f t="shared" si="17"/>
        <v>1782</v>
      </c>
      <c r="G209" s="3">
        <v>1856</v>
      </c>
      <c r="H209" s="3">
        <f t="shared" si="18"/>
        <v>-74</v>
      </c>
      <c r="I209" s="21">
        <f t="shared" si="19"/>
        <v>21.691494473810668</v>
      </c>
      <c r="J209" s="17"/>
    </row>
    <row r="210" spans="1:10" ht="13.5">
      <c r="A210" s="1">
        <v>8</v>
      </c>
      <c r="B210" s="2" t="s">
        <v>207</v>
      </c>
      <c r="C210" s="3">
        <v>830</v>
      </c>
      <c r="D210" s="3">
        <v>3</v>
      </c>
      <c r="E210" s="3">
        <v>5</v>
      </c>
      <c r="F210" s="3">
        <f t="shared" si="17"/>
        <v>822</v>
      </c>
      <c r="G210" s="3">
        <v>914</v>
      </c>
      <c r="H210" s="3">
        <f t="shared" si="18"/>
        <v>-92</v>
      </c>
      <c r="I210" s="21">
        <f t="shared" si="19"/>
        <v>26.967803940413262</v>
      </c>
      <c r="J210" s="17"/>
    </row>
    <row r="211" spans="1:10" ht="13.5">
      <c r="A211" s="1">
        <v>9</v>
      </c>
      <c r="B211" s="2" t="s">
        <v>208</v>
      </c>
      <c r="C211" s="3">
        <v>1333</v>
      </c>
      <c r="D211" s="3">
        <v>2</v>
      </c>
      <c r="E211" s="3">
        <v>16</v>
      </c>
      <c r="F211" s="3">
        <f t="shared" si="17"/>
        <v>1315</v>
      </c>
      <c r="G211" s="3">
        <v>1665</v>
      </c>
      <c r="H211" s="3">
        <f t="shared" si="18"/>
        <v>-350</v>
      </c>
      <c r="I211" s="21">
        <f t="shared" si="19"/>
        <v>102.59490629505045</v>
      </c>
      <c r="J211" s="17"/>
    </row>
    <row r="212" spans="1:10" ht="13.5">
      <c r="A212" s="1">
        <v>10</v>
      </c>
      <c r="B212" s="2" t="s">
        <v>209</v>
      </c>
      <c r="C212" s="3">
        <v>1242</v>
      </c>
      <c r="D212" s="3">
        <v>4</v>
      </c>
      <c r="E212" s="3">
        <v>8</v>
      </c>
      <c r="F212" s="3">
        <f t="shared" si="17"/>
        <v>1230</v>
      </c>
      <c r="G212" s="3">
        <v>1225</v>
      </c>
      <c r="H212" s="3">
        <v>0</v>
      </c>
      <c r="I212" s="21">
        <f t="shared" si="19"/>
        <v>0</v>
      </c>
      <c r="J212" s="17">
        <f>F212-G212</f>
        <v>5</v>
      </c>
    </row>
    <row r="213" spans="1:10" ht="13.5">
      <c r="A213" s="1">
        <v>11</v>
      </c>
      <c r="B213" s="2" t="s">
        <v>210</v>
      </c>
      <c r="C213" s="3">
        <v>511</v>
      </c>
      <c r="D213" s="3"/>
      <c r="E213" s="3">
        <v>6</v>
      </c>
      <c r="F213" s="3">
        <f t="shared" si="17"/>
        <v>505</v>
      </c>
      <c r="G213" s="3">
        <v>483</v>
      </c>
      <c r="H213" s="3">
        <v>0</v>
      </c>
      <c r="I213" s="21">
        <f t="shared" si="19"/>
        <v>0</v>
      </c>
      <c r="J213" s="17">
        <f>F213-G213</f>
        <v>22</v>
      </c>
    </row>
    <row r="214" spans="1:10" ht="13.5">
      <c r="A214" s="1">
        <v>12</v>
      </c>
      <c r="B214" s="2" t="s">
        <v>211</v>
      </c>
      <c r="C214" s="3">
        <v>548</v>
      </c>
      <c r="D214" s="3">
        <v>2</v>
      </c>
      <c r="E214" s="3">
        <v>3</v>
      </c>
      <c r="F214" s="3">
        <f t="shared" si="17"/>
        <v>543</v>
      </c>
      <c r="G214" s="3">
        <v>681</v>
      </c>
      <c r="H214" s="3">
        <f t="shared" si="18"/>
        <v>-138</v>
      </c>
      <c r="I214" s="21">
        <f t="shared" si="19"/>
        <v>40.45170591061989</v>
      </c>
      <c r="J214" s="17"/>
    </row>
    <row r="215" spans="1:10" ht="13.5">
      <c r="A215" s="1">
        <v>13</v>
      </c>
      <c r="B215" s="2" t="s">
        <v>212</v>
      </c>
      <c r="C215" s="3">
        <v>571</v>
      </c>
      <c r="D215" s="3"/>
      <c r="E215" s="3">
        <v>3</v>
      </c>
      <c r="F215" s="3">
        <f t="shared" si="17"/>
        <v>568</v>
      </c>
      <c r="G215" s="3">
        <v>788</v>
      </c>
      <c r="H215" s="3">
        <f t="shared" si="18"/>
        <v>-220</v>
      </c>
      <c r="I215" s="21">
        <f t="shared" si="19"/>
        <v>64.48822681403172</v>
      </c>
      <c r="J215" s="17"/>
    </row>
    <row r="216" spans="1:10" ht="13.5">
      <c r="A216" s="1">
        <v>14</v>
      </c>
      <c r="B216" s="2" t="s">
        <v>213</v>
      </c>
      <c r="C216" s="3">
        <v>864</v>
      </c>
      <c r="D216" s="3">
        <v>2</v>
      </c>
      <c r="E216" s="3">
        <v>5</v>
      </c>
      <c r="F216" s="3">
        <f t="shared" si="17"/>
        <v>857</v>
      </c>
      <c r="G216" s="3">
        <v>948</v>
      </c>
      <c r="H216" s="3">
        <f t="shared" si="18"/>
        <v>-91</v>
      </c>
      <c r="I216" s="21">
        <f t="shared" si="19"/>
        <v>26.67467563671312</v>
      </c>
      <c r="J216" s="17"/>
    </row>
    <row r="217" spans="1:10" ht="13.5">
      <c r="A217" s="1">
        <v>15</v>
      </c>
      <c r="B217" s="2" t="s">
        <v>214</v>
      </c>
      <c r="C217" s="3">
        <v>1843</v>
      </c>
      <c r="D217" s="3">
        <v>5</v>
      </c>
      <c r="E217" s="3">
        <v>21</v>
      </c>
      <c r="F217" s="3">
        <f t="shared" si="17"/>
        <v>1817</v>
      </c>
      <c r="G217" s="3">
        <v>1678</v>
      </c>
      <c r="H217" s="3">
        <v>0</v>
      </c>
      <c r="I217" s="21">
        <f t="shared" si="19"/>
        <v>0</v>
      </c>
      <c r="J217" s="17">
        <f>F217-G217</f>
        <v>139</v>
      </c>
    </row>
    <row r="218" spans="1:10" ht="13.5">
      <c r="A218" s="1">
        <v>16</v>
      </c>
      <c r="B218" s="2" t="s">
        <v>215</v>
      </c>
      <c r="C218" s="3">
        <v>814</v>
      </c>
      <c r="D218" s="3">
        <v>2</v>
      </c>
      <c r="E218" s="3">
        <v>3</v>
      </c>
      <c r="F218" s="3">
        <f t="shared" si="17"/>
        <v>809</v>
      </c>
      <c r="G218" s="3">
        <v>756</v>
      </c>
      <c r="H218" s="3">
        <v>0</v>
      </c>
      <c r="I218" s="21">
        <f t="shared" si="19"/>
        <v>0</v>
      </c>
      <c r="J218" s="17">
        <f>F218-G218</f>
        <v>53</v>
      </c>
    </row>
    <row r="219" spans="1:10" ht="13.5">
      <c r="A219" s="1">
        <v>17</v>
      </c>
      <c r="B219" s="2" t="s">
        <v>216</v>
      </c>
      <c r="C219" s="3">
        <v>1266</v>
      </c>
      <c r="D219" s="3">
        <v>4</v>
      </c>
      <c r="E219" s="3">
        <v>9</v>
      </c>
      <c r="F219" s="3">
        <f t="shared" si="17"/>
        <v>1253</v>
      </c>
      <c r="G219" s="3">
        <v>2051</v>
      </c>
      <c r="H219" s="3">
        <f t="shared" si="18"/>
        <v>-798</v>
      </c>
      <c r="I219" s="21">
        <f t="shared" si="19"/>
        <v>233.91638635271502</v>
      </c>
      <c r="J219" s="17"/>
    </row>
    <row r="220" spans="1:10" ht="13.5">
      <c r="A220" s="1">
        <v>18</v>
      </c>
      <c r="B220" s="2" t="s">
        <v>217</v>
      </c>
      <c r="C220" s="3">
        <v>1631</v>
      </c>
      <c r="D220" s="3">
        <v>13</v>
      </c>
      <c r="E220" s="3">
        <v>19</v>
      </c>
      <c r="F220" s="3">
        <f t="shared" si="17"/>
        <v>1599</v>
      </c>
      <c r="G220" s="3">
        <v>1982</v>
      </c>
      <c r="H220" s="3">
        <f t="shared" si="18"/>
        <v>-383</v>
      </c>
      <c r="I220" s="21">
        <f t="shared" si="19"/>
        <v>112.26814031715521</v>
      </c>
      <c r="J220" s="17"/>
    </row>
    <row r="221" spans="1:10" ht="13.5">
      <c r="A221" s="1">
        <v>19</v>
      </c>
      <c r="B221" s="2" t="s">
        <v>218</v>
      </c>
      <c r="C221" s="3">
        <v>1037</v>
      </c>
      <c r="D221" s="3">
        <v>2</v>
      </c>
      <c r="E221" s="3">
        <v>9</v>
      </c>
      <c r="F221" s="3">
        <f t="shared" si="17"/>
        <v>1026</v>
      </c>
      <c r="G221" s="3">
        <v>835</v>
      </c>
      <c r="H221" s="3">
        <v>0</v>
      </c>
      <c r="I221" s="21">
        <f t="shared" si="19"/>
        <v>0</v>
      </c>
      <c r="J221" s="17">
        <f>F221-G221</f>
        <v>191</v>
      </c>
    </row>
    <row r="222" spans="1:10" ht="13.5">
      <c r="A222" s="1">
        <v>20</v>
      </c>
      <c r="B222" s="2" t="s">
        <v>219</v>
      </c>
      <c r="C222" s="3">
        <v>1207</v>
      </c>
      <c r="D222" s="3">
        <v>12</v>
      </c>
      <c r="E222" s="3">
        <v>23</v>
      </c>
      <c r="F222" s="3">
        <f t="shared" si="17"/>
        <v>1172</v>
      </c>
      <c r="G222" s="3">
        <v>1528</v>
      </c>
      <c r="H222" s="3">
        <f t="shared" si="18"/>
        <v>-356</v>
      </c>
      <c r="I222" s="21">
        <f t="shared" si="19"/>
        <v>104.35367611725133</v>
      </c>
      <c r="J222" s="17"/>
    </row>
    <row r="223" spans="1:10" ht="13.5">
      <c r="A223" s="1">
        <v>21</v>
      </c>
      <c r="B223" s="2" t="s">
        <v>220</v>
      </c>
      <c r="C223" s="3">
        <v>1192</v>
      </c>
      <c r="D223" s="3">
        <v>14</v>
      </c>
      <c r="E223" s="3">
        <v>14</v>
      </c>
      <c r="F223" s="3">
        <f t="shared" si="17"/>
        <v>1164</v>
      </c>
      <c r="G223" s="3">
        <v>1242</v>
      </c>
      <c r="H223" s="3">
        <f t="shared" si="18"/>
        <v>-78</v>
      </c>
      <c r="I223" s="21">
        <f t="shared" si="19"/>
        <v>22.864007688611245</v>
      </c>
      <c r="J223" s="17"/>
    </row>
    <row r="224" spans="1:10" ht="13.5">
      <c r="A224" s="1">
        <v>22</v>
      </c>
      <c r="B224" s="2" t="s">
        <v>221</v>
      </c>
      <c r="C224" s="3">
        <v>1144</v>
      </c>
      <c r="D224" s="3">
        <v>3</v>
      </c>
      <c r="E224" s="3">
        <v>6</v>
      </c>
      <c r="F224" s="3">
        <f t="shared" si="17"/>
        <v>1135</v>
      </c>
      <c r="G224" s="3">
        <v>1163</v>
      </c>
      <c r="H224" s="3">
        <f t="shared" si="18"/>
        <v>-28</v>
      </c>
      <c r="I224" s="21">
        <f t="shared" si="19"/>
        <v>8.207592503604037</v>
      </c>
      <c r="J224" s="17"/>
    </row>
    <row r="225" spans="1:10" ht="13.5">
      <c r="A225" s="1">
        <v>23</v>
      </c>
      <c r="B225" s="2" t="s">
        <v>222</v>
      </c>
      <c r="C225" s="3">
        <v>830</v>
      </c>
      <c r="D225" s="3">
        <v>5</v>
      </c>
      <c r="E225" s="3">
        <v>5</v>
      </c>
      <c r="F225" s="3">
        <f t="shared" si="17"/>
        <v>820</v>
      </c>
      <c r="G225" s="3">
        <v>826</v>
      </c>
      <c r="H225" s="3">
        <f t="shared" si="18"/>
        <v>-6</v>
      </c>
      <c r="I225" s="21">
        <f t="shared" si="19"/>
        <v>1.758769822200865</v>
      </c>
      <c r="J225" s="17"/>
    </row>
    <row r="226" spans="1:10" ht="13.5">
      <c r="A226" s="1">
        <v>24</v>
      </c>
      <c r="B226" s="2" t="s">
        <v>223</v>
      </c>
      <c r="C226" s="3">
        <v>1193</v>
      </c>
      <c r="D226" s="3"/>
      <c r="E226" s="3">
        <v>5</v>
      </c>
      <c r="F226" s="3">
        <f t="shared" si="17"/>
        <v>1188</v>
      </c>
      <c r="G226" s="3">
        <v>1513</v>
      </c>
      <c r="H226" s="3">
        <f t="shared" si="18"/>
        <v>-325</v>
      </c>
      <c r="I226" s="21">
        <f t="shared" si="19"/>
        <v>95.26669870254685</v>
      </c>
      <c r="J226" s="17"/>
    </row>
    <row r="227" spans="1:10" ht="13.5">
      <c r="A227" s="1">
        <v>25</v>
      </c>
      <c r="B227" s="2" t="s">
        <v>224</v>
      </c>
      <c r="C227" s="3">
        <v>853</v>
      </c>
      <c r="D227" s="3">
        <v>1</v>
      </c>
      <c r="E227" s="3">
        <v>6</v>
      </c>
      <c r="F227" s="3">
        <f t="shared" si="17"/>
        <v>846</v>
      </c>
      <c r="G227" s="3">
        <v>992</v>
      </c>
      <c r="H227" s="3">
        <f t="shared" si="18"/>
        <v>-146</v>
      </c>
      <c r="I227" s="21">
        <f t="shared" si="19"/>
        <v>42.79673234022105</v>
      </c>
      <c r="J227" s="17"/>
    </row>
    <row r="228" spans="1:10" ht="13.5">
      <c r="A228" s="1">
        <v>26</v>
      </c>
      <c r="B228" s="2" t="s">
        <v>225</v>
      </c>
      <c r="C228" s="3">
        <v>501</v>
      </c>
      <c r="D228" s="3">
        <v>3</v>
      </c>
      <c r="E228" s="3">
        <v>5</v>
      </c>
      <c r="F228" s="3">
        <f t="shared" si="17"/>
        <v>493</v>
      </c>
      <c r="G228" s="3">
        <v>700</v>
      </c>
      <c r="H228" s="3">
        <f t="shared" si="18"/>
        <v>-207</v>
      </c>
      <c r="I228" s="21">
        <f t="shared" si="19"/>
        <v>60.677558865929846</v>
      </c>
      <c r="J228" s="17"/>
    </row>
    <row r="229" spans="1:10" ht="13.5">
      <c r="A229" s="1">
        <v>27</v>
      </c>
      <c r="B229" s="2" t="s">
        <v>226</v>
      </c>
      <c r="C229" s="3">
        <v>343</v>
      </c>
      <c r="D229" s="3">
        <v>1</v>
      </c>
      <c r="E229" s="3">
        <v>1</v>
      </c>
      <c r="F229" s="3">
        <f t="shared" si="17"/>
        <v>341</v>
      </c>
      <c r="G229" s="3">
        <v>415</v>
      </c>
      <c r="H229" s="3">
        <f t="shared" si="18"/>
        <v>-74</v>
      </c>
      <c r="I229" s="21">
        <f t="shared" si="19"/>
        <v>21.691494473810668</v>
      </c>
      <c r="J229" s="17"/>
    </row>
    <row r="230" spans="1:10" ht="13.5">
      <c r="A230" s="1">
        <v>28</v>
      </c>
      <c r="B230" s="2" t="s">
        <v>227</v>
      </c>
      <c r="C230" s="3">
        <v>442</v>
      </c>
      <c r="D230" s="3"/>
      <c r="E230" s="3">
        <v>2</v>
      </c>
      <c r="F230" s="3">
        <f t="shared" si="17"/>
        <v>440</v>
      </c>
      <c r="G230" s="3">
        <v>654</v>
      </c>
      <c r="H230" s="3">
        <f t="shared" si="18"/>
        <v>-214</v>
      </c>
      <c r="I230" s="21">
        <f t="shared" si="19"/>
        <v>62.72945699183085</v>
      </c>
      <c r="J230" s="17"/>
    </row>
    <row r="231" spans="1:10" ht="13.5">
      <c r="A231" s="1">
        <v>29</v>
      </c>
      <c r="B231" s="2" t="s">
        <v>228</v>
      </c>
      <c r="C231" s="3">
        <v>496</v>
      </c>
      <c r="D231" s="3">
        <v>2</v>
      </c>
      <c r="E231" s="3">
        <v>4</v>
      </c>
      <c r="F231" s="3">
        <f t="shared" si="17"/>
        <v>490</v>
      </c>
      <c r="G231" s="3">
        <v>521</v>
      </c>
      <c r="H231" s="3">
        <f t="shared" si="18"/>
        <v>-31</v>
      </c>
      <c r="I231" s="21">
        <f t="shared" si="19"/>
        <v>9.086977414704469</v>
      </c>
      <c r="J231" s="17"/>
    </row>
    <row r="232" spans="1:10" ht="13.5">
      <c r="A232" s="1">
        <v>30</v>
      </c>
      <c r="B232" s="2" t="s">
        <v>229</v>
      </c>
      <c r="C232" s="3">
        <v>483</v>
      </c>
      <c r="D232" s="3">
        <v>9</v>
      </c>
      <c r="E232" s="3">
        <v>9</v>
      </c>
      <c r="F232" s="3">
        <f t="shared" si="17"/>
        <v>465</v>
      </c>
      <c r="G232" s="3">
        <v>372</v>
      </c>
      <c r="H232" s="3">
        <v>0</v>
      </c>
      <c r="I232" s="21">
        <f t="shared" si="19"/>
        <v>0</v>
      </c>
      <c r="J232" s="17">
        <f>F232-G232</f>
        <v>93</v>
      </c>
    </row>
    <row r="233" spans="1:10" ht="13.5">
      <c r="A233" s="1">
        <v>31</v>
      </c>
      <c r="B233" s="2" t="s">
        <v>230</v>
      </c>
      <c r="C233" s="3">
        <v>513</v>
      </c>
      <c r="D233" s="3">
        <v>4</v>
      </c>
      <c r="E233" s="3">
        <v>14</v>
      </c>
      <c r="F233" s="3">
        <f t="shared" si="17"/>
        <v>495</v>
      </c>
      <c r="G233" s="3">
        <v>448</v>
      </c>
      <c r="H233" s="3">
        <v>0</v>
      </c>
      <c r="I233" s="21">
        <f t="shared" si="19"/>
        <v>0</v>
      </c>
      <c r="J233" s="17">
        <f>F233-G233</f>
        <v>47</v>
      </c>
    </row>
    <row r="234" spans="1:10" ht="13.5">
      <c r="A234" s="1">
        <v>32</v>
      </c>
      <c r="B234" s="2" t="s">
        <v>231</v>
      </c>
      <c r="C234" s="3">
        <v>1118</v>
      </c>
      <c r="D234" s="3">
        <v>5</v>
      </c>
      <c r="E234" s="3">
        <v>16</v>
      </c>
      <c r="F234" s="3">
        <f t="shared" si="17"/>
        <v>1097</v>
      </c>
      <c r="G234" s="3">
        <v>957</v>
      </c>
      <c r="H234" s="3">
        <v>0</v>
      </c>
      <c r="I234" s="21">
        <f t="shared" si="19"/>
        <v>0</v>
      </c>
      <c r="J234" s="17">
        <f>F234-G234</f>
        <v>140</v>
      </c>
    </row>
    <row r="235" spans="1:10" ht="13.5">
      <c r="A235" s="1">
        <v>33</v>
      </c>
      <c r="B235" s="2" t="s">
        <v>232</v>
      </c>
      <c r="C235" s="3">
        <v>229</v>
      </c>
      <c r="D235" s="3">
        <v>1</v>
      </c>
      <c r="E235" s="3">
        <v>5</v>
      </c>
      <c r="F235" s="3">
        <f t="shared" si="17"/>
        <v>223</v>
      </c>
      <c r="G235" s="3">
        <v>275</v>
      </c>
      <c r="H235" s="3">
        <f t="shared" si="18"/>
        <v>-52</v>
      </c>
      <c r="I235" s="21">
        <f t="shared" si="19"/>
        <v>15.242671792407497</v>
      </c>
      <c r="J235" s="17"/>
    </row>
    <row r="236" spans="1:10" ht="13.5">
      <c r="A236" s="1">
        <v>34</v>
      </c>
      <c r="B236" s="2" t="s">
        <v>233</v>
      </c>
      <c r="C236" s="3">
        <v>274</v>
      </c>
      <c r="D236" s="3">
        <v>4</v>
      </c>
      <c r="E236" s="3">
        <v>8</v>
      </c>
      <c r="F236" s="3">
        <f t="shared" si="17"/>
        <v>262</v>
      </c>
      <c r="G236" s="3">
        <v>292</v>
      </c>
      <c r="H236" s="3">
        <f t="shared" si="18"/>
        <v>-30</v>
      </c>
      <c r="I236" s="21">
        <f t="shared" si="19"/>
        <v>8.793849111004324</v>
      </c>
      <c r="J236" s="17"/>
    </row>
    <row r="237" spans="1:10" ht="13.5">
      <c r="A237" s="1">
        <v>35</v>
      </c>
      <c r="B237" s="2" t="s">
        <v>234</v>
      </c>
      <c r="C237" s="3">
        <v>276</v>
      </c>
      <c r="D237" s="3">
        <v>1</v>
      </c>
      <c r="E237" s="3">
        <v>3</v>
      </c>
      <c r="F237" s="3">
        <f t="shared" si="17"/>
        <v>272</v>
      </c>
      <c r="G237" s="3">
        <v>243</v>
      </c>
      <c r="H237" s="3">
        <v>0</v>
      </c>
      <c r="I237" s="21">
        <f t="shared" si="19"/>
        <v>0</v>
      </c>
      <c r="J237" s="17">
        <f>F237-G237</f>
        <v>29</v>
      </c>
    </row>
    <row r="238" spans="1:10" ht="13.5">
      <c r="A238" s="1">
        <v>36</v>
      </c>
      <c r="B238" s="2" t="s">
        <v>235</v>
      </c>
      <c r="C238" s="3">
        <v>602</v>
      </c>
      <c r="D238" s="3">
        <v>10</v>
      </c>
      <c r="E238" s="3">
        <v>17</v>
      </c>
      <c r="F238" s="3">
        <f t="shared" si="17"/>
        <v>575</v>
      </c>
      <c r="G238" s="3">
        <v>601</v>
      </c>
      <c r="H238" s="3">
        <f t="shared" si="18"/>
        <v>-26</v>
      </c>
      <c r="I238" s="21">
        <f t="shared" si="19"/>
        <v>7.621335896203749</v>
      </c>
      <c r="J238" s="17"/>
    </row>
    <row r="239" spans="1:10" ht="13.5">
      <c r="A239" s="1">
        <v>37</v>
      </c>
      <c r="B239" s="2" t="s">
        <v>236</v>
      </c>
      <c r="C239" s="3">
        <v>2320</v>
      </c>
      <c r="D239" s="3">
        <v>15</v>
      </c>
      <c r="E239" s="3">
        <v>58</v>
      </c>
      <c r="F239" s="3">
        <f t="shared" si="17"/>
        <v>2247</v>
      </c>
      <c r="G239" s="3">
        <v>2117</v>
      </c>
      <c r="H239" s="3">
        <v>0</v>
      </c>
      <c r="I239" s="21">
        <f t="shared" si="19"/>
        <v>0</v>
      </c>
      <c r="J239" s="17">
        <f>F239-G239</f>
        <v>130</v>
      </c>
    </row>
    <row r="240" spans="1:10" ht="13.5">
      <c r="A240" s="1">
        <v>38</v>
      </c>
      <c r="B240" s="2" t="s">
        <v>237</v>
      </c>
      <c r="C240" s="3">
        <v>159</v>
      </c>
      <c r="D240" s="3"/>
      <c r="E240" s="3"/>
      <c r="F240" s="3">
        <f t="shared" si="17"/>
        <v>159</v>
      </c>
      <c r="G240" s="3">
        <v>159</v>
      </c>
      <c r="H240" s="3">
        <f t="shared" si="18"/>
        <v>0</v>
      </c>
      <c r="I240" s="21">
        <f t="shared" si="19"/>
        <v>0</v>
      </c>
      <c r="J240" s="17">
        <f>F240-G240</f>
        <v>0</v>
      </c>
    </row>
    <row r="241" spans="1:10" ht="13.5">
      <c r="A241" s="14" t="s">
        <v>463</v>
      </c>
      <c r="B241" s="15" t="s">
        <v>238</v>
      </c>
      <c r="C241" s="16">
        <f>SUM(C242:C247)</f>
        <v>4333</v>
      </c>
      <c r="D241" s="16">
        <f>SUM(D242:D247)</f>
        <v>7</v>
      </c>
      <c r="E241" s="16">
        <f>SUM(E242:E247)</f>
        <v>21</v>
      </c>
      <c r="F241" s="16">
        <f t="shared" si="17"/>
        <v>4305</v>
      </c>
      <c r="G241" s="16">
        <f>SUM(G242:G247)</f>
        <v>5524</v>
      </c>
      <c r="H241" s="16">
        <f>SUM(H242:H247)</f>
        <v>-1444</v>
      </c>
      <c r="I241" s="23">
        <f>H241/-45579*13363</f>
        <v>423.35663353737465</v>
      </c>
      <c r="J241" s="17"/>
    </row>
    <row r="242" spans="1:10" ht="13.5">
      <c r="A242" s="1">
        <v>1</v>
      </c>
      <c r="B242" s="2" t="s">
        <v>239</v>
      </c>
      <c r="C242" s="3">
        <v>590</v>
      </c>
      <c r="D242" s="3">
        <v>2</v>
      </c>
      <c r="E242" s="3">
        <v>4</v>
      </c>
      <c r="F242" s="3">
        <f t="shared" si="17"/>
        <v>584</v>
      </c>
      <c r="G242" s="3">
        <v>887</v>
      </c>
      <c r="H242" s="3">
        <f t="shared" si="18"/>
        <v>-303</v>
      </c>
      <c r="I242" s="21">
        <f>H242/-1444*423</f>
        <v>88.75969529085873</v>
      </c>
      <c r="J242" s="17"/>
    </row>
    <row r="243" spans="1:10" ht="13.5">
      <c r="A243" s="1">
        <v>2</v>
      </c>
      <c r="B243" s="2" t="s">
        <v>240</v>
      </c>
      <c r="C243" s="3">
        <v>630</v>
      </c>
      <c r="D243" s="3">
        <v>2</v>
      </c>
      <c r="E243" s="3">
        <v>4</v>
      </c>
      <c r="F243" s="3">
        <f t="shared" si="17"/>
        <v>624</v>
      </c>
      <c r="G243" s="3">
        <v>1206</v>
      </c>
      <c r="H243" s="3">
        <f t="shared" si="18"/>
        <v>-582</v>
      </c>
      <c r="I243" s="21">
        <f>H243/-1444*423</f>
        <v>170.48891966759</v>
      </c>
      <c r="J243" s="17"/>
    </row>
    <row r="244" spans="1:10" ht="13.5">
      <c r="A244" s="1">
        <v>3</v>
      </c>
      <c r="B244" s="2" t="s">
        <v>241</v>
      </c>
      <c r="C244" s="3">
        <v>1139</v>
      </c>
      <c r="D244" s="3">
        <v>2</v>
      </c>
      <c r="E244" s="3">
        <v>2</v>
      </c>
      <c r="F244" s="3">
        <f t="shared" si="17"/>
        <v>1135</v>
      </c>
      <c r="G244" s="3">
        <v>1226</v>
      </c>
      <c r="H244" s="3">
        <f t="shared" si="18"/>
        <v>-91</v>
      </c>
      <c r="I244" s="21">
        <f>H244/-1444*423</f>
        <v>26.65720221606648</v>
      </c>
      <c r="J244" s="17"/>
    </row>
    <row r="245" spans="1:10" ht="13.5">
      <c r="A245" s="1">
        <v>4</v>
      </c>
      <c r="B245" s="2" t="s">
        <v>242</v>
      </c>
      <c r="C245" s="3">
        <v>995</v>
      </c>
      <c r="D245" s="3">
        <v>1</v>
      </c>
      <c r="E245" s="3">
        <v>9</v>
      </c>
      <c r="F245" s="3">
        <f t="shared" si="17"/>
        <v>985</v>
      </c>
      <c r="G245" s="3">
        <v>1452</v>
      </c>
      <c r="H245" s="3">
        <f t="shared" si="18"/>
        <v>-467</v>
      </c>
      <c r="I245" s="21">
        <f>H245/-1444*423</f>
        <v>136.80124653739614</v>
      </c>
      <c r="J245" s="17"/>
    </row>
    <row r="246" spans="1:10" ht="13.5">
      <c r="A246" s="1">
        <v>5</v>
      </c>
      <c r="B246" s="2" t="s">
        <v>243</v>
      </c>
      <c r="C246" s="3">
        <v>718</v>
      </c>
      <c r="D246" s="3"/>
      <c r="E246" s="3">
        <v>2</v>
      </c>
      <c r="F246" s="3">
        <f t="shared" si="17"/>
        <v>716</v>
      </c>
      <c r="G246" s="3">
        <v>491</v>
      </c>
      <c r="H246" s="3">
        <v>0</v>
      </c>
      <c r="I246" s="21">
        <f>H246/-1444*423</f>
        <v>0</v>
      </c>
      <c r="J246" s="17">
        <f>F246-G246</f>
        <v>225</v>
      </c>
    </row>
    <row r="247" spans="1:10" ht="13.5">
      <c r="A247" s="1">
        <v>6</v>
      </c>
      <c r="B247" s="2" t="s">
        <v>244</v>
      </c>
      <c r="C247" s="3">
        <v>261</v>
      </c>
      <c r="D247" s="3"/>
      <c r="E247" s="3"/>
      <c r="F247" s="3">
        <f t="shared" si="17"/>
        <v>261</v>
      </c>
      <c r="G247" s="3">
        <v>262</v>
      </c>
      <c r="H247" s="3">
        <f t="shared" si="18"/>
        <v>-1</v>
      </c>
      <c r="I247" s="21">
        <v>0</v>
      </c>
      <c r="J247" s="17"/>
    </row>
    <row r="248" spans="1:10" ht="13.5">
      <c r="A248" s="14" t="s">
        <v>464</v>
      </c>
      <c r="B248" s="15" t="s">
        <v>245</v>
      </c>
      <c r="C248" s="16">
        <f>SUM(C249:C257)</f>
        <v>6908</v>
      </c>
      <c r="D248" s="16">
        <f>SUM(D249:D257)</f>
        <v>7</v>
      </c>
      <c r="E248" s="16">
        <f>SUM(E249:E257)</f>
        <v>44</v>
      </c>
      <c r="F248" s="16">
        <f t="shared" si="17"/>
        <v>6857</v>
      </c>
      <c r="G248" s="16">
        <f>SUM(G249:G257)</f>
        <v>6124</v>
      </c>
      <c r="H248" s="16">
        <f>SUM(H249:H257)</f>
        <v>-101</v>
      </c>
      <c r="I248" s="23">
        <f>H248/-45579*13363</f>
        <v>29.61150968647842</v>
      </c>
      <c r="J248" s="17"/>
    </row>
    <row r="249" spans="1:10" ht="13.5">
      <c r="A249" s="1">
        <v>1</v>
      </c>
      <c r="B249" s="2" t="s">
        <v>246</v>
      </c>
      <c r="C249" s="3">
        <v>511</v>
      </c>
      <c r="D249" s="3"/>
      <c r="E249" s="3">
        <v>5</v>
      </c>
      <c r="F249" s="3">
        <f t="shared" si="17"/>
        <v>506</v>
      </c>
      <c r="G249" s="3">
        <v>452</v>
      </c>
      <c r="H249" s="3">
        <v>0</v>
      </c>
      <c r="I249" s="21">
        <f>H249/-101*30</f>
        <v>0</v>
      </c>
      <c r="J249" s="17">
        <f>F249-G249</f>
        <v>54</v>
      </c>
    </row>
    <row r="250" spans="1:10" ht="13.5">
      <c r="A250" s="1">
        <v>2</v>
      </c>
      <c r="B250" s="2" t="s">
        <v>247</v>
      </c>
      <c r="C250" s="3">
        <v>1015</v>
      </c>
      <c r="D250" s="3"/>
      <c r="E250" s="3">
        <v>9</v>
      </c>
      <c r="F250" s="3">
        <f t="shared" si="17"/>
        <v>1006</v>
      </c>
      <c r="G250" s="3">
        <v>914</v>
      </c>
      <c r="H250" s="3">
        <v>0</v>
      </c>
      <c r="I250" s="21">
        <f aca="true" t="shared" si="20" ref="I250:I257">H250/-101*30</f>
        <v>0</v>
      </c>
      <c r="J250" s="17">
        <f>F250-G250</f>
        <v>92</v>
      </c>
    </row>
    <row r="251" spans="1:10" ht="13.5">
      <c r="A251" s="1">
        <v>3</v>
      </c>
      <c r="B251" s="2" t="s">
        <v>248</v>
      </c>
      <c r="C251" s="3">
        <v>667</v>
      </c>
      <c r="D251" s="3"/>
      <c r="E251" s="3">
        <v>2</v>
      </c>
      <c r="F251" s="3">
        <f t="shared" si="17"/>
        <v>665</v>
      </c>
      <c r="G251" s="3">
        <v>593</v>
      </c>
      <c r="H251" s="3">
        <v>0</v>
      </c>
      <c r="I251" s="21">
        <f t="shared" si="20"/>
        <v>0</v>
      </c>
      <c r="J251" s="17">
        <f>F251-G251</f>
        <v>72</v>
      </c>
    </row>
    <row r="252" spans="1:10" ht="13.5">
      <c r="A252" s="1">
        <v>4</v>
      </c>
      <c r="B252" s="2" t="s">
        <v>249</v>
      </c>
      <c r="C252" s="3">
        <v>953</v>
      </c>
      <c r="D252" s="3">
        <v>1</v>
      </c>
      <c r="E252" s="3">
        <v>5</v>
      </c>
      <c r="F252" s="3">
        <f t="shared" si="17"/>
        <v>947</v>
      </c>
      <c r="G252" s="3">
        <v>779</v>
      </c>
      <c r="H252" s="3">
        <v>0</v>
      </c>
      <c r="I252" s="21">
        <f t="shared" si="20"/>
        <v>0</v>
      </c>
      <c r="J252" s="17">
        <f>F252-G252</f>
        <v>168</v>
      </c>
    </row>
    <row r="253" spans="1:10" ht="13.5">
      <c r="A253" s="1">
        <v>5</v>
      </c>
      <c r="B253" s="2" t="s">
        <v>250</v>
      </c>
      <c r="C253" s="3">
        <v>442</v>
      </c>
      <c r="D253" s="3">
        <v>1</v>
      </c>
      <c r="E253" s="3">
        <v>1</v>
      </c>
      <c r="F253" s="3">
        <f t="shared" si="17"/>
        <v>440</v>
      </c>
      <c r="G253" s="3">
        <v>498</v>
      </c>
      <c r="H253" s="3">
        <f t="shared" si="18"/>
        <v>-58</v>
      </c>
      <c r="I253" s="21">
        <f t="shared" si="20"/>
        <v>17.227722772277225</v>
      </c>
      <c r="J253" s="17"/>
    </row>
    <row r="254" spans="1:10" ht="13.5">
      <c r="A254" s="1">
        <v>6</v>
      </c>
      <c r="B254" s="2" t="s">
        <v>251</v>
      </c>
      <c r="C254" s="3">
        <v>356</v>
      </c>
      <c r="D254" s="3"/>
      <c r="E254" s="3"/>
      <c r="F254" s="3">
        <f t="shared" si="17"/>
        <v>356</v>
      </c>
      <c r="G254" s="3">
        <v>332</v>
      </c>
      <c r="H254" s="3">
        <v>0</v>
      </c>
      <c r="I254" s="21">
        <f t="shared" si="20"/>
        <v>0</v>
      </c>
      <c r="J254" s="17">
        <f>F254-G254</f>
        <v>24</v>
      </c>
    </row>
    <row r="255" spans="1:10" ht="13.5">
      <c r="A255" s="1">
        <v>7</v>
      </c>
      <c r="B255" s="2" t="s">
        <v>252</v>
      </c>
      <c r="C255" s="3">
        <v>712</v>
      </c>
      <c r="D255" s="3"/>
      <c r="E255" s="3">
        <v>3</v>
      </c>
      <c r="F255" s="3">
        <f t="shared" si="17"/>
        <v>709</v>
      </c>
      <c r="G255" s="3">
        <v>752</v>
      </c>
      <c r="H255" s="3">
        <f t="shared" si="18"/>
        <v>-43</v>
      </c>
      <c r="I255" s="21">
        <f t="shared" si="20"/>
        <v>12.772277227722771</v>
      </c>
      <c r="J255" s="17"/>
    </row>
    <row r="256" spans="1:10" ht="13.5">
      <c r="A256" s="1">
        <v>8</v>
      </c>
      <c r="B256" s="2" t="s">
        <v>253</v>
      </c>
      <c r="C256" s="3">
        <v>1444</v>
      </c>
      <c r="D256" s="3">
        <v>2</v>
      </c>
      <c r="E256" s="3">
        <v>9</v>
      </c>
      <c r="F256" s="3">
        <f t="shared" si="17"/>
        <v>1433</v>
      </c>
      <c r="G256" s="3">
        <v>1274</v>
      </c>
      <c r="H256" s="3">
        <v>0</v>
      </c>
      <c r="I256" s="21">
        <f t="shared" si="20"/>
        <v>0</v>
      </c>
      <c r="J256" s="17">
        <f>F256-G256</f>
        <v>159</v>
      </c>
    </row>
    <row r="257" spans="1:10" ht="13.5">
      <c r="A257" s="1">
        <v>9</v>
      </c>
      <c r="B257" s="2" t="s">
        <v>254</v>
      </c>
      <c r="C257" s="3">
        <v>808</v>
      </c>
      <c r="D257" s="3">
        <v>3</v>
      </c>
      <c r="E257" s="3">
        <v>10</v>
      </c>
      <c r="F257" s="3">
        <f t="shared" si="17"/>
        <v>795</v>
      </c>
      <c r="G257" s="3">
        <v>530</v>
      </c>
      <c r="H257" s="3">
        <v>0</v>
      </c>
      <c r="I257" s="21">
        <f t="shared" si="20"/>
        <v>0</v>
      </c>
      <c r="J257" s="17">
        <f>F257-G257</f>
        <v>265</v>
      </c>
    </row>
    <row r="258" spans="1:10" ht="13.5">
      <c r="A258" s="14" t="s">
        <v>465</v>
      </c>
      <c r="B258" s="15" t="s">
        <v>255</v>
      </c>
      <c r="C258" s="16">
        <f>SUM(C259:C266)</f>
        <v>5118</v>
      </c>
      <c r="D258" s="16">
        <f>SUM(D259:D266)</f>
        <v>6</v>
      </c>
      <c r="E258" s="16">
        <f>SUM(E259:E266)</f>
        <v>16</v>
      </c>
      <c r="F258" s="16">
        <f t="shared" si="17"/>
        <v>5096</v>
      </c>
      <c r="G258" s="16">
        <f>SUM(G259:G266)</f>
        <v>6429</v>
      </c>
      <c r="H258" s="16">
        <f>SUM(H259:H266)</f>
        <v>-1356</v>
      </c>
      <c r="I258" s="23">
        <f>H258/-45579*13363</f>
        <v>397.5565062857895</v>
      </c>
      <c r="J258" s="17"/>
    </row>
    <row r="259" spans="1:10" ht="13.5">
      <c r="A259" s="1">
        <v>1</v>
      </c>
      <c r="B259" s="2" t="s">
        <v>256</v>
      </c>
      <c r="C259" s="3">
        <v>679</v>
      </c>
      <c r="D259" s="3">
        <v>1</v>
      </c>
      <c r="E259" s="3"/>
      <c r="F259" s="3">
        <f t="shared" si="17"/>
        <v>678</v>
      </c>
      <c r="G259" s="3">
        <v>850</v>
      </c>
      <c r="H259" s="3">
        <f t="shared" si="18"/>
        <v>-172</v>
      </c>
      <c r="I259" s="21">
        <f>H259/1356*-398</f>
        <v>50.48377581120945</v>
      </c>
      <c r="J259" s="17"/>
    </row>
    <row r="260" spans="1:10" ht="13.5">
      <c r="A260" s="1">
        <v>2</v>
      </c>
      <c r="B260" s="2" t="s">
        <v>257</v>
      </c>
      <c r="C260" s="3">
        <v>751</v>
      </c>
      <c r="D260" s="3">
        <v>1</v>
      </c>
      <c r="E260" s="3">
        <v>2</v>
      </c>
      <c r="F260" s="3">
        <f t="shared" si="17"/>
        <v>748</v>
      </c>
      <c r="G260" s="3">
        <v>1014</v>
      </c>
      <c r="H260" s="3">
        <f t="shared" si="18"/>
        <v>-266</v>
      </c>
      <c r="I260" s="21">
        <f aca="true" t="shared" si="21" ref="I260:I266">H260/1356*-398</f>
        <v>78.07374631268436</v>
      </c>
      <c r="J260" s="17"/>
    </row>
    <row r="261" spans="1:10" ht="13.5">
      <c r="A261" s="1">
        <v>3</v>
      </c>
      <c r="B261" s="2" t="s">
        <v>258</v>
      </c>
      <c r="C261" s="3">
        <v>954</v>
      </c>
      <c r="D261" s="3">
        <v>2</v>
      </c>
      <c r="E261" s="3">
        <v>2</v>
      </c>
      <c r="F261" s="3">
        <f t="shared" si="17"/>
        <v>950</v>
      </c>
      <c r="G261" s="3">
        <v>1165</v>
      </c>
      <c r="H261" s="3">
        <f t="shared" si="18"/>
        <v>-215</v>
      </c>
      <c r="I261" s="21">
        <f t="shared" si="21"/>
        <v>63.1047197640118</v>
      </c>
      <c r="J261" s="17"/>
    </row>
    <row r="262" spans="1:10" ht="13.5">
      <c r="A262" s="1">
        <v>4</v>
      </c>
      <c r="B262" s="2" t="s">
        <v>259</v>
      </c>
      <c r="C262" s="3">
        <v>584</v>
      </c>
      <c r="D262" s="3"/>
      <c r="E262" s="3">
        <v>1</v>
      </c>
      <c r="F262" s="3">
        <f t="shared" si="17"/>
        <v>583</v>
      </c>
      <c r="G262" s="3">
        <v>711</v>
      </c>
      <c r="H262" s="3">
        <f t="shared" si="18"/>
        <v>-128</v>
      </c>
      <c r="I262" s="21">
        <f t="shared" si="21"/>
        <v>37.5693215339233</v>
      </c>
      <c r="J262" s="17"/>
    </row>
    <row r="263" spans="1:10" ht="13.5">
      <c r="A263" s="1">
        <v>5</v>
      </c>
      <c r="B263" s="2" t="s">
        <v>260</v>
      </c>
      <c r="C263" s="3">
        <v>379</v>
      </c>
      <c r="D263" s="3"/>
      <c r="E263" s="3">
        <v>1</v>
      </c>
      <c r="F263" s="3">
        <f t="shared" si="17"/>
        <v>378</v>
      </c>
      <c r="G263" s="3">
        <v>355</v>
      </c>
      <c r="H263" s="3">
        <v>0</v>
      </c>
      <c r="I263" s="21">
        <f t="shared" si="21"/>
        <v>0</v>
      </c>
      <c r="J263" s="17">
        <f>F263-G263</f>
        <v>23</v>
      </c>
    </row>
    <row r="264" spans="1:10" ht="13.5">
      <c r="A264" s="1">
        <v>6</v>
      </c>
      <c r="B264" s="2" t="s">
        <v>261</v>
      </c>
      <c r="C264" s="3">
        <v>816</v>
      </c>
      <c r="D264" s="3"/>
      <c r="E264" s="3">
        <v>5</v>
      </c>
      <c r="F264" s="3">
        <f t="shared" si="17"/>
        <v>811</v>
      </c>
      <c r="G264" s="3">
        <v>1227</v>
      </c>
      <c r="H264" s="3">
        <f aca="true" t="shared" si="22" ref="H264:H327">F264-G264</f>
        <v>-416</v>
      </c>
      <c r="I264" s="21">
        <f t="shared" si="21"/>
        <v>122.10029498525074</v>
      </c>
      <c r="J264" s="17"/>
    </row>
    <row r="265" spans="1:10" ht="13.5">
      <c r="A265" s="1">
        <v>7</v>
      </c>
      <c r="B265" s="2" t="s">
        <v>262</v>
      </c>
      <c r="C265" s="3">
        <v>623</v>
      </c>
      <c r="D265" s="3">
        <v>2</v>
      </c>
      <c r="E265" s="3">
        <v>4</v>
      </c>
      <c r="F265" s="3">
        <f t="shared" si="17"/>
        <v>617</v>
      </c>
      <c r="G265" s="3">
        <v>776</v>
      </c>
      <c r="H265" s="3">
        <f t="shared" si="22"/>
        <v>-159</v>
      </c>
      <c r="I265" s="21">
        <f t="shared" si="21"/>
        <v>46.66814159292036</v>
      </c>
      <c r="J265" s="17"/>
    </row>
    <row r="266" spans="1:10" ht="13.5">
      <c r="A266" s="1">
        <v>8</v>
      </c>
      <c r="B266" s="2" t="s">
        <v>263</v>
      </c>
      <c r="C266" s="3">
        <v>332</v>
      </c>
      <c r="D266" s="3"/>
      <c r="E266" s="3">
        <v>1</v>
      </c>
      <c r="F266" s="3">
        <f aca="true" t="shared" si="23" ref="F266:F330">C266-E266-D266</f>
        <v>331</v>
      </c>
      <c r="G266" s="3">
        <v>331</v>
      </c>
      <c r="H266" s="3">
        <f t="shared" si="22"/>
        <v>0</v>
      </c>
      <c r="I266" s="21">
        <f t="shared" si="21"/>
        <v>0</v>
      </c>
      <c r="J266" s="17"/>
    </row>
    <row r="267" spans="1:10" ht="13.5">
      <c r="A267" s="14" t="s">
        <v>466</v>
      </c>
      <c r="B267" s="15" t="s">
        <v>264</v>
      </c>
      <c r="C267" s="16">
        <f>SUM(C268:C283)</f>
        <v>5579</v>
      </c>
      <c r="D267" s="16">
        <f>SUM(D268:D283)</f>
        <v>9</v>
      </c>
      <c r="E267" s="16">
        <f>SUM(E268:E283)</f>
        <v>26</v>
      </c>
      <c r="F267" s="16">
        <f t="shared" si="23"/>
        <v>5544</v>
      </c>
      <c r="G267" s="16">
        <f>SUM(G268:G283)</f>
        <v>5397</v>
      </c>
      <c r="H267" s="16">
        <f>SUM(H268:H283)</f>
        <v>-815</v>
      </c>
      <c r="I267" s="23">
        <f>H267/-45579*13363</f>
        <v>238.94436034138528</v>
      </c>
      <c r="J267" s="17"/>
    </row>
    <row r="268" spans="1:10" ht="13.5">
      <c r="A268" s="1">
        <v>1</v>
      </c>
      <c r="B268" s="2" t="s">
        <v>265</v>
      </c>
      <c r="C268" s="3">
        <v>370</v>
      </c>
      <c r="D268" s="3"/>
      <c r="E268" s="3">
        <v>2</v>
      </c>
      <c r="F268" s="3">
        <f t="shared" si="23"/>
        <v>368</v>
      </c>
      <c r="G268" s="3">
        <v>344</v>
      </c>
      <c r="H268" s="3">
        <v>0</v>
      </c>
      <c r="I268" s="21">
        <f>H268/-815*239</f>
        <v>0</v>
      </c>
      <c r="J268" s="17">
        <f>F268-G268</f>
        <v>24</v>
      </c>
    </row>
    <row r="269" spans="1:10" ht="13.5">
      <c r="A269" s="1">
        <v>2</v>
      </c>
      <c r="B269" s="2" t="s">
        <v>266</v>
      </c>
      <c r="C269" s="3">
        <v>239</v>
      </c>
      <c r="D269" s="3">
        <v>1</v>
      </c>
      <c r="E269" s="3">
        <v>1</v>
      </c>
      <c r="F269" s="3">
        <f t="shared" si="23"/>
        <v>237</v>
      </c>
      <c r="G269" s="3">
        <v>219</v>
      </c>
      <c r="H269" s="3">
        <v>0</v>
      </c>
      <c r="I269" s="21">
        <f aca="true" t="shared" si="24" ref="I269:I283">H269/-815*239</f>
        <v>0</v>
      </c>
      <c r="J269" s="17">
        <f>F269-G269</f>
        <v>18</v>
      </c>
    </row>
    <row r="270" spans="1:10" ht="13.5">
      <c r="A270" s="1">
        <v>3</v>
      </c>
      <c r="B270" s="2" t="s">
        <v>267</v>
      </c>
      <c r="C270" s="3">
        <v>650</v>
      </c>
      <c r="D270" s="3"/>
      <c r="E270" s="3">
        <v>1</v>
      </c>
      <c r="F270" s="3">
        <f t="shared" si="23"/>
        <v>649</v>
      </c>
      <c r="G270" s="3">
        <v>1149</v>
      </c>
      <c r="H270" s="3">
        <f t="shared" si="22"/>
        <v>-500</v>
      </c>
      <c r="I270" s="21">
        <f t="shared" si="24"/>
        <v>146.62576687116564</v>
      </c>
      <c r="J270" s="17"/>
    </row>
    <row r="271" spans="1:10" ht="13.5">
      <c r="A271" s="1">
        <v>4</v>
      </c>
      <c r="B271" s="2" t="s">
        <v>268</v>
      </c>
      <c r="C271" s="3">
        <v>418</v>
      </c>
      <c r="D271" s="3"/>
      <c r="E271" s="3"/>
      <c r="F271" s="3">
        <f t="shared" si="23"/>
        <v>418</v>
      </c>
      <c r="G271" s="3">
        <v>627</v>
      </c>
      <c r="H271" s="3">
        <f t="shared" si="22"/>
        <v>-209</v>
      </c>
      <c r="I271" s="21">
        <f t="shared" si="24"/>
        <v>61.28957055214725</v>
      </c>
      <c r="J271" s="17"/>
    </row>
    <row r="272" spans="1:10" ht="13.5">
      <c r="A272" s="1">
        <v>5</v>
      </c>
      <c r="B272" s="2" t="s">
        <v>269</v>
      </c>
      <c r="C272" s="3">
        <v>226</v>
      </c>
      <c r="D272" s="3"/>
      <c r="E272" s="3">
        <v>2</v>
      </c>
      <c r="F272" s="3">
        <f t="shared" si="23"/>
        <v>224</v>
      </c>
      <c r="G272" s="3">
        <v>240</v>
      </c>
      <c r="H272" s="3">
        <f t="shared" si="22"/>
        <v>-16</v>
      </c>
      <c r="I272" s="21">
        <f t="shared" si="24"/>
        <v>4.692024539877301</v>
      </c>
      <c r="J272" s="17"/>
    </row>
    <row r="273" spans="1:10" ht="13.5">
      <c r="A273" s="1">
        <v>6</v>
      </c>
      <c r="B273" s="2" t="s">
        <v>270</v>
      </c>
      <c r="C273" s="3">
        <v>305</v>
      </c>
      <c r="D273" s="3"/>
      <c r="E273" s="3"/>
      <c r="F273" s="3">
        <f t="shared" si="23"/>
        <v>305</v>
      </c>
      <c r="G273" s="3">
        <v>395</v>
      </c>
      <c r="H273" s="3">
        <f t="shared" si="22"/>
        <v>-90</v>
      </c>
      <c r="I273" s="21">
        <f t="shared" si="24"/>
        <v>26.392638036809817</v>
      </c>
      <c r="J273" s="17"/>
    </row>
    <row r="274" spans="1:10" ht="13.5">
      <c r="A274" s="1">
        <v>7</v>
      </c>
      <c r="B274" s="2" t="s">
        <v>271</v>
      </c>
      <c r="C274" s="3">
        <v>393</v>
      </c>
      <c r="D274" s="3">
        <v>1</v>
      </c>
      <c r="E274" s="3">
        <v>5</v>
      </c>
      <c r="F274" s="3">
        <f t="shared" si="23"/>
        <v>387</v>
      </c>
      <c r="G274" s="3">
        <v>236</v>
      </c>
      <c r="H274" s="3">
        <v>0</v>
      </c>
      <c r="I274" s="21">
        <f t="shared" si="24"/>
        <v>0</v>
      </c>
      <c r="J274" s="17">
        <f aca="true" t="shared" si="25" ref="J274:J280">F274-G274</f>
        <v>151</v>
      </c>
    </row>
    <row r="275" spans="1:10" ht="13.5">
      <c r="A275" s="1">
        <v>8</v>
      </c>
      <c r="B275" s="2" t="s">
        <v>272</v>
      </c>
      <c r="C275" s="3">
        <v>332</v>
      </c>
      <c r="D275" s="3"/>
      <c r="E275" s="3">
        <v>2</v>
      </c>
      <c r="F275" s="3">
        <f t="shared" si="23"/>
        <v>330</v>
      </c>
      <c r="G275" s="3">
        <v>240</v>
      </c>
      <c r="H275" s="3">
        <v>0</v>
      </c>
      <c r="I275" s="21">
        <f t="shared" si="24"/>
        <v>0</v>
      </c>
      <c r="J275" s="17">
        <f t="shared" si="25"/>
        <v>90</v>
      </c>
    </row>
    <row r="276" spans="1:10" ht="13.5">
      <c r="A276" s="1">
        <v>9</v>
      </c>
      <c r="B276" s="2" t="s">
        <v>273</v>
      </c>
      <c r="C276" s="3">
        <v>252</v>
      </c>
      <c r="D276" s="3">
        <v>1</v>
      </c>
      <c r="E276" s="3">
        <v>3</v>
      </c>
      <c r="F276" s="3">
        <f t="shared" si="23"/>
        <v>248</v>
      </c>
      <c r="G276" s="3">
        <v>221</v>
      </c>
      <c r="H276" s="3">
        <v>0</v>
      </c>
      <c r="I276" s="21">
        <f t="shared" si="24"/>
        <v>0</v>
      </c>
      <c r="J276" s="17">
        <f t="shared" si="25"/>
        <v>27</v>
      </c>
    </row>
    <row r="277" spans="1:10" ht="13.5">
      <c r="A277" s="1">
        <v>10</v>
      </c>
      <c r="B277" s="2" t="s">
        <v>274</v>
      </c>
      <c r="C277" s="3">
        <v>379</v>
      </c>
      <c r="D277" s="3"/>
      <c r="E277" s="3">
        <v>1</v>
      </c>
      <c r="F277" s="3">
        <f t="shared" si="23"/>
        <v>378</v>
      </c>
      <c r="G277" s="3">
        <v>270</v>
      </c>
      <c r="H277" s="3">
        <v>0</v>
      </c>
      <c r="I277" s="21">
        <f t="shared" si="24"/>
        <v>0</v>
      </c>
      <c r="J277" s="17">
        <f t="shared" si="25"/>
        <v>108</v>
      </c>
    </row>
    <row r="278" spans="1:10" ht="13.5">
      <c r="A278" s="1">
        <v>11</v>
      </c>
      <c r="B278" s="2" t="s">
        <v>275</v>
      </c>
      <c r="C278" s="3">
        <v>367</v>
      </c>
      <c r="D278" s="3">
        <v>2</v>
      </c>
      <c r="E278" s="3">
        <v>1</v>
      </c>
      <c r="F278" s="3">
        <f t="shared" si="23"/>
        <v>364</v>
      </c>
      <c r="G278" s="3">
        <v>270</v>
      </c>
      <c r="H278" s="3">
        <v>0</v>
      </c>
      <c r="I278" s="21">
        <f t="shared" si="24"/>
        <v>0</v>
      </c>
      <c r="J278" s="17">
        <f t="shared" si="25"/>
        <v>94</v>
      </c>
    </row>
    <row r="279" spans="1:10" ht="13.5">
      <c r="A279" s="1">
        <v>12</v>
      </c>
      <c r="B279" s="2" t="s">
        <v>276</v>
      </c>
      <c r="C279" s="3">
        <v>609</v>
      </c>
      <c r="D279" s="3">
        <v>1</v>
      </c>
      <c r="E279" s="3">
        <v>1</v>
      </c>
      <c r="F279" s="3">
        <f t="shared" si="23"/>
        <v>607</v>
      </c>
      <c r="G279" s="3">
        <v>463</v>
      </c>
      <c r="H279" s="3">
        <v>0</v>
      </c>
      <c r="I279" s="21">
        <f t="shared" si="24"/>
        <v>0</v>
      </c>
      <c r="J279" s="17">
        <f t="shared" si="25"/>
        <v>144</v>
      </c>
    </row>
    <row r="280" spans="1:10" ht="13.5">
      <c r="A280" s="1">
        <v>13</v>
      </c>
      <c r="B280" s="2" t="s">
        <v>277</v>
      </c>
      <c r="C280" s="3">
        <v>138</v>
      </c>
      <c r="D280" s="3"/>
      <c r="E280" s="3"/>
      <c r="F280" s="3">
        <f t="shared" si="23"/>
        <v>138</v>
      </c>
      <c r="G280" s="3">
        <v>86</v>
      </c>
      <c r="H280" s="3">
        <v>0</v>
      </c>
      <c r="I280" s="21">
        <f t="shared" si="24"/>
        <v>0</v>
      </c>
      <c r="J280" s="17">
        <f t="shared" si="25"/>
        <v>52</v>
      </c>
    </row>
    <row r="281" spans="1:10" ht="13.5">
      <c r="A281" s="1">
        <v>14</v>
      </c>
      <c r="B281" s="2" t="s">
        <v>278</v>
      </c>
      <c r="C281" s="3">
        <v>189</v>
      </c>
      <c r="D281" s="3"/>
      <c r="E281" s="3">
        <v>1</v>
      </c>
      <c r="F281" s="3">
        <f t="shared" si="23"/>
        <v>188</v>
      </c>
      <c r="G281" s="3">
        <v>188</v>
      </c>
      <c r="H281" s="3">
        <f t="shared" si="22"/>
        <v>0</v>
      </c>
      <c r="I281" s="21">
        <f t="shared" si="24"/>
        <v>0</v>
      </c>
      <c r="J281" s="17"/>
    </row>
    <row r="282" spans="1:10" ht="13.5">
      <c r="A282" s="1"/>
      <c r="B282" s="2" t="s">
        <v>279</v>
      </c>
      <c r="C282" s="3"/>
      <c r="D282" s="3"/>
      <c r="E282" s="3"/>
      <c r="F282" s="3"/>
      <c r="G282" s="3"/>
      <c r="H282" s="3">
        <f t="shared" si="22"/>
        <v>0</v>
      </c>
      <c r="I282" s="21">
        <f t="shared" si="24"/>
        <v>0</v>
      </c>
      <c r="J282" s="17"/>
    </row>
    <row r="283" spans="1:10" ht="13.5">
      <c r="A283" s="1">
        <v>16</v>
      </c>
      <c r="B283" s="2" t="s">
        <v>280</v>
      </c>
      <c r="C283" s="3">
        <v>712</v>
      </c>
      <c r="D283" s="3">
        <v>3</v>
      </c>
      <c r="E283" s="3">
        <v>6</v>
      </c>
      <c r="F283" s="3">
        <f t="shared" si="23"/>
        <v>703</v>
      </c>
      <c r="G283" s="3">
        <v>449</v>
      </c>
      <c r="H283" s="3">
        <v>0</v>
      </c>
      <c r="I283" s="21">
        <f t="shared" si="24"/>
        <v>0</v>
      </c>
      <c r="J283" s="17">
        <f>F283-G283</f>
        <v>254</v>
      </c>
    </row>
    <row r="284" spans="1:10" ht="13.5">
      <c r="A284" s="14" t="s">
        <v>467</v>
      </c>
      <c r="B284" s="15" t="s">
        <v>281</v>
      </c>
      <c r="C284" s="16">
        <f>SUM(C285:C294)</f>
        <v>4149</v>
      </c>
      <c r="D284" s="16">
        <f>SUM(D285:D294)</f>
        <v>2</v>
      </c>
      <c r="E284" s="16">
        <f>SUM(E285:E294)</f>
        <v>15</v>
      </c>
      <c r="F284" s="16">
        <f t="shared" si="23"/>
        <v>4132</v>
      </c>
      <c r="G284" s="16">
        <f>SUM(G285:G294)</f>
        <v>5154</v>
      </c>
      <c r="H284" s="16">
        <f>SUM(H285:H294)</f>
        <v>-1116</v>
      </c>
      <c r="I284" s="23">
        <f>H284/-45579*13363</f>
        <v>327.19252287237543</v>
      </c>
      <c r="J284" s="17"/>
    </row>
    <row r="285" spans="1:10" ht="13.5">
      <c r="A285" s="1">
        <v>1</v>
      </c>
      <c r="B285" s="2" t="s">
        <v>282</v>
      </c>
      <c r="C285" s="3">
        <v>536</v>
      </c>
      <c r="D285" s="3"/>
      <c r="E285" s="3">
        <v>1</v>
      </c>
      <c r="F285" s="3">
        <f t="shared" si="23"/>
        <v>535</v>
      </c>
      <c r="G285" s="18">
        <v>670</v>
      </c>
      <c r="H285" s="3">
        <f t="shared" si="22"/>
        <v>-135</v>
      </c>
      <c r="I285" s="21">
        <f>H285/-1116*327</f>
        <v>39.556451612903224</v>
      </c>
      <c r="J285" s="17"/>
    </row>
    <row r="286" spans="1:10" ht="13.5">
      <c r="A286" s="1">
        <v>2</v>
      </c>
      <c r="B286" s="2" t="s">
        <v>283</v>
      </c>
      <c r="C286" s="3">
        <v>720</v>
      </c>
      <c r="D286" s="3"/>
      <c r="E286" s="3">
        <v>1</v>
      </c>
      <c r="F286" s="3">
        <f t="shared" si="23"/>
        <v>719</v>
      </c>
      <c r="G286" s="18">
        <v>1054</v>
      </c>
      <c r="H286" s="3">
        <f t="shared" si="22"/>
        <v>-335</v>
      </c>
      <c r="I286" s="21">
        <f aca="true" t="shared" si="26" ref="I286:I294">H286/-1116*327</f>
        <v>98.15860215053763</v>
      </c>
      <c r="J286" s="17"/>
    </row>
    <row r="287" spans="1:10" ht="13.5">
      <c r="A287" s="1">
        <v>3</v>
      </c>
      <c r="B287" s="2" t="s">
        <v>284</v>
      </c>
      <c r="C287" s="3">
        <v>455</v>
      </c>
      <c r="D287" s="3"/>
      <c r="E287" s="3">
        <v>1</v>
      </c>
      <c r="F287" s="3">
        <f t="shared" si="23"/>
        <v>454</v>
      </c>
      <c r="G287" s="18">
        <v>685</v>
      </c>
      <c r="H287" s="3">
        <f t="shared" si="22"/>
        <v>-231</v>
      </c>
      <c r="I287" s="21">
        <f t="shared" si="26"/>
        <v>67.68548387096774</v>
      </c>
      <c r="J287" s="17"/>
    </row>
    <row r="288" spans="1:10" ht="13.5">
      <c r="A288" s="1">
        <v>4</v>
      </c>
      <c r="B288" s="2" t="s">
        <v>285</v>
      </c>
      <c r="C288" s="3">
        <v>285</v>
      </c>
      <c r="D288" s="3"/>
      <c r="E288" s="3"/>
      <c r="F288" s="3">
        <f t="shared" si="23"/>
        <v>285</v>
      </c>
      <c r="G288" s="18">
        <v>332</v>
      </c>
      <c r="H288" s="3">
        <f t="shared" si="22"/>
        <v>-47</v>
      </c>
      <c r="I288" s="21">
        <f t="shared" si="26"/>
        <v>13.771505376344086</v>
      </c>
      <c r="J288" s="17"/>
    </row>
    <row r="289" spans="1:10" ht="13.5">
      <c r="A289" s="1">
        <v>5</v>
      </c>
      <c r="B289" s="2" t="s">
        <v>286</v>
      </c>
      <c r="C289" s="3">
        <v>398</v>
      </c>
      <c r="D289" s="3"/>
      <c r="E289" s="3"/>
      <c r="F289" s="3">
        <f t="shared" si="23"/>
        <v>398</v>
      </c>
      <c r="G289" s="18">
        <v>554</v>
      </c>
      <c r="H289" s="3">
        <f t="shared" si="22"/>
        <v>-156</v>
      </c>
      <c r="I289" s="21">
        <f t="shared" si="26"/>
        <v>45.70967741935483</v>
      </c>
      <c r="J289" s="17"/>
    </row>
    <row r="290" spans="1:10" ht="13.5">
      <c r="A290" s="1">
        <v>6</v>
      </c>
      <c r="B290" s="2" t="s">
        <v>287</v>
      </c>
      <c r="C290" s="3">
        <v>258</v>
      </c>
      <c r="D290" s="3"/>
      <c r="E290" s="3">
        <v>1</v>
      </c>
      <c r="F290" s="3">
        <f t="shared" si="23"/>
        <v>257</v>
      </c>
      <c r="G290" s="18">
        <v>356</v>
      </c>
      <c r="H290" s="3">
        <f t="shared" si="22"/>
        <v>-99</v>
      </c>
      <c r="I290" s="21">
        <f t="shared" si="26"/>
        <v>29.008064516129032</v>
      </c>
      <c r="J290" s="17"/>
    </row>
    <row r="291" spans="1:10" ht="13.5">
      <c r="A291" s="1">
        <v>7</v>
      </c>
      <c r="B291" s="2" t="s">
        <v>288</v>
      </c>
      <c r="C291" s="3">
        <v>180</v>
      </c>
      <c r="D291" s="3"/>
      <c r="E291" s="3"/>
      <c r="F291" s="3">
        <f t="shared" si="23"/>
        <v>180</v>
      </c>
      <c r="G291" s="18">
        <v>239</v>
      </c>
      <c r="H291" s="3">
        <f t="shared" si="22"/>
        <v>-59</v>
      </c>
      <c r="I291" s="21">
        <f t="shared" si="26"/>
        <v>17.287634408602152</v>
      </c>
      <c r="J291" s="17"/>
    </row>
    <row r="292" spans="1:10" ht="13.5">
      <c r="A292" s="1">
        <v>8</v>
      </c>
      <c r="B292" s="2" t="s">
        <v>289</v>
      </c>
      <c r="C292" s="3">
        <v>252</v>
      </c>
      <c r="D292" s="3"/>
      <c r="E292" s="3">
        <v>1</v>
      </c>
      <c r="F292" s="3">
        <f t="shared" si="23"/>
        <v>251</v>
      </c>
      <c r="G292" s="18">
        <v>305</v>
      </c>
      <c r="H292" s="3">
        <f t="shared" si="22"/>
        <v>-54</v>
      </c>
      <c r="I292" s="21">
        <f t="shared" si="26"/>
        <v>15.82258064516129</v>
      </c>
      <c r="J292" s="17"/>
    </row>
    <row r="293" spans="1:10" ht="13.5">
      <c r="A293" s="1">
        <v>9</v>
      </c>
      <c r="B293" s="2" t="s">
        <v>290</v>
      </c>
      <c r="C293" s="3">
        <v>810</v>
      </c>
      <c r="D293" s="3">
        <v>2</v>
      </c>
      <c r="E293" s="3">
        <v>8</v>
      </c>
      <c r="F293" s="3">
        <f t="shared" si="23"/>
        <v>800</v>
      </c>
      <c r="G293" s="18">
        <v>706</v>
      </c>
      <c r="H293" s="3">
        <v>0</v>
      </c>
      <c r="I293" s="21">
        <f t="shared" si="26"/>
        <v>0</v>
      </c>
      <c r="J293" s="17">
        <f>F293-G293</f>
        <v>94</v>
      </c>
    </row>
    <row r="294" spans="1:10" ht="13.5">
      <c r="A294" s="1">
        <v>10</v>
      </c>
      <c r="B294" s="2" t="s">
        <v>291</v>
      </c>
      <c r="C294" s="3">
        <v>255</v>
      </c>
      <c r="D294" s="3"/>
      <c r="E294" s="3">
        <v>2</v>
      </c>
      <c r="F294" s="3">
        <f t="shared" si="23"/>
        <v>253</v>
      </c>
      <c r="G294" s="3">
        <v>253</v>
      </c>
      <c r="H294" s="3">
        <f t="shared" si="22"/>
        <v>0</v>
      </c>
      <c r="I294" s="21">
        <f t="shared" si="26"/>
        <v>0</v>
      </c>
      <c r="J294" s="17">
        <f>F294-G294</f>
        <v>0</v>
      </c>
    </row>
    <row r="295" spans="1:10" ht="13.5">
      <c r="A295" s="14" t="s">
        <v>468</v>
      </c>
      <c r="B295" s="15" t="s">
        <v>292</v>
      </c>
      <c r="C295" s="16">
        <f>SUM(C296:C309)</f>
        <v>2833</v>
      </c>
      <c r="D295" s="16">
        <f>SUM(D296:D309)</f>
        <v>7</v>
      </c>
      <c r="E295" s="16">
        <f>SUM(E296:E309)</f>
        <v>16</v>
      </c>
      <c r="F295" s="16">
        <f t="shared" si="23"/>
        <v>2810</v>
      </c>
      <c r="G295" s="16">
        <f>SUM(G296:G309)</f>
        <v>3330</v>
      </c>
      <c r="H295" s="16">
        <f>SUM(H296:H309)</f>
        <v>-895</v>
      </c>
      <c r="I295" s="23">
        <f>H295/-45579*13363</f>
        <v>262.39902147918997</v>
      </c>
      <c r="J295" s="17"/>
    </row>
    <row r="296" spans="1:10" ht="13.5">
      <c r="A296" s="1">
        <v>1</v>
      </c>
      <c r="B296" s="2" t="s">
        <v>293</v>
      </c>
      <c r="C296" s="3">
        <v>168</v>
      </c>
      <c r="D296" s="3"/>
      <c r="E296" s="3">
        <v>1</v>
      </c>
      <c r="F296" s="3">
        <f t="shared" si="23"/>
        <v>167</v>
      </c>
      <c r="G296" s="3">
        <v>367</v>
      </c>
      <c r="H296" s="3">
        <f t="shared" si="22"/>
        <v>-200</v>
      </c>
      <c r="I296" s="21">
        <f>H296/-895*262</f>
        <v>58.54748603351955</v>
      </c>
      <c r="J296" s="17"/>
    </row>
    <row r="297" spans="1:10" ht="13.5">
      <c r="A297" s="1">
        <v>2</v>
      </c>
      <c r="B297" s="2" t="s">
        <v>294</v>
      </c>
      <c r="C297" s="3">
        <v>345</v>
      </c>
      <c r="D297" s="3">
        <v>2</v>
      </c>
      <c r="E297" s="3">
        <v>4</v>
      </c>
      <c r="F297" s="3">
        <f t="shared" si="23"/>
        <v>339</v>
      </c>
      <c r="G297" s="3">
        <v>260</v>
      </c>
      <c r="H297" s="3">
        <v>0</v>
      </c>
      <c r="I297" s="21">
        <f aca="true" t="shared" si="27" ref="I297:I309">H297/-895*262</f>
        <v>0</v>
      </c>
      <c r="J297" s="17">
        <f>F297-G297</f>
        <v>79</v>
      </c>
    </row>
    <row r="298" spans="1:10" ht="13.5">
      <c r="A298" s="1">
        <v>3</v>
      </c>
      <c r="B298" s="2" t="s">
        <v>295</v>
      </c>
      <c r="C298" s="3">
        <v>447</v>
      </c>
      <c r="D298" s="3">
        <v>1</v>
      </c>
      <c r="E298" s="3">
        <v>2</v>
      </c>
      <c r="F298" s="3">
        <f t="shared" si="23"/>
        <v>444</v>
      </c>
      <c r="G298" s="3">
        <v>824</v>
      </c>
      <c r="H298" s="3">
        <f t="shared" si="22"/>
        <v>-380</v>
      </c>
      <c r="I298" s="21">
        <f t="shared" si="27"/>
        <v>111.24022346368714</v>
      </c>
      <c r="J298" s="17"/>
    </row>
    <row r="299" spans="1:10" ht="13.5">
      <c r="A299" s="1">
        <v>4</v>
      </c>
      <c r="B299" s="2" t="s">
        <v>296</v>
      </c>
      <c r="C299" s="3">
        <v>200</v>
      </c>
      <c r="D299" s="3">
        <v>1</v>
      </c>
      <c r="E299" s="3">
        <v>1</v>
      </c>
      <c r="F299" s="3">
        <f t="shared" si="23"/>
        <v>198</v>
      </c>
      <c r="G299" s="3">
        <v>398</v>
      </c>
      <c r="H299" s="3">
        <f t="shared" si="22"/>
        <v>-200</v>
      </c>
      <c r="I299" s="21">
        <f t="shared" si="27"/>
        <v>58.54748603351955</v>
      </c>
      <c r="J299" s="17"/>
    </row>
    <row r="300" spans="1:10" ht="13.5">
      <c r="A300" s="1">
        <v>5</v>
      </c>
      <c r="B300" s="2" t="s">
        <v>297</v>
      </c>
      <c r="C300" s="3">
        <v>159</v>
      </c>
      <c r="D300" s="3"/>
      <c r="E300" s="3">
        <v>2</v>
      </c>
      <c r="F300" s="3">
        <f t="shared" si="23"/>
        <v>157</v>
      </c>
      <c r="G300" s="3">
        <v>272</v>
      </c>
      <c r="H300" s="3">
        <f t="shared" si="22"/>
        <v>-115</v>
      </c>
      <c r="I300" s="21">
        <f t="shared" si="27"/>
        <v>33.66480446927375</v>
      </c>
      <c r="J300" s="17"/>
    </row>
    <row r="301" spans="1:10" ht="13.5">
      <c r="A301" s="1">
        <v>6</v>
      </c>
      <c r="B301" s="2" t="s">
        <v>298</v>
      </c>
      <c r="C301" s="3">
        <v>224</v>
      </c>
      <c r="D301" s="3"/>
      <c r="E301" s="3">
        <v>1</v>
      </c>
      <c r="F301" s="3">
        <f t="shared" si="23"/>
        <v>223</v>
      </c>
      <c r="G301" s="3">
        <v>223</v>
      </c>
      <c r="H301" s="3">
        <f t="shared" si="22"/>
        <v>0</v>
      </c>
      <c r="I301" s="21">
        <f t="shared" si="27"/>
        <v>0</v>
      </c>
      <c r="J301" s="17"/>
    </row>
    <row r="302" spans="1:10" ht="13.5">
      <c r="A302" s="1">
        <v>7</v>
      </c>
      <c r="B302" s="2" t="s">
        <v>299</v>
      </c>
      <c r="C302" s="3">
        <v>31</v>
      </c>
      <c r="D302" s="3"/>
      <c r="E302" s="3"/>
      <c r="F302" s="3">
        <f t="shared" si="23"/>
        <v>31</v>
      </c>
      <c r="G302" s="3">
        <v>31</v>
      </c>
      <c r="H302" s="3">
        <f t="shared" si="22"/>
        <v>0</v>
      </c>
      <c r="I302" s="21">
        <f t="shared" si="27"/>
        <v>0</v>
      </c>
      <c r="J302" s="17"/>
    </row>
    <row r="303" spans="1:10" ht="13.5">
      <c r="A303" s="1">
        <v>8</v>
      </c>
      <c r="B303" s="2" t="s">
        <v>300</v>
      </c>
      <c r="C303" s="3">
        <v>54</v>
      </c>
      <c r="D303" s="3"/>
      <c r="E303" s="3"/>
      <c r="F303" s="3">
        <f t="shared" si="23"/>
        <v>54</v>
      </c>
      <c r="G303" s="3">
        <v>54</v>
      </c>
      <c r="H303" s="3">
        <f t="shared" si="22"/>
        <v>0</v>
      </c>
      <c r="I303" s="21">
        <f t="shared" si="27"/>
        <v>0</v>
      </c>
      <c r="J303" s="17"/>
    </row>
    <row r="304" spans="1:10" ht="13.5">
      <c r="A304" s="1">
        <v>9</v>
      </c>
      <c r="B304" s="2" t="s">
        <v>301</v>
      </c>
      <c r="C304" s="3">
        <v>50</v>
      </c>
      <c r="D304" s="3"/>
      <c r="E304" s="3"/>
      <c r="F304" s="3">
        <f t="shared" si="23"/>
        <v>50</v>
      </c>
      <c r="G304" s="3">
        <v>50</v>
      </c>
      <c r="H304" s="3">
        <f t="shared" si="22"/>
        <v>0</v>
      </c>
      <c r="I304" s="21">
        <f t="shared" si="27"/>
        <v>0</v>
      </c>
      <c r="J304" s="17"/>
    </row>
    <row r="305" spans="1:10" ht="13.5">
      <c r="A305" s="1">
        <v>10</v>
      </c>
      <c r="B305" s="2" t="s">
        <v>302</v>
      </c>
      <c r="C305" s="3">
        <v>190</v>
      </c>
      <c r="D305" s="3">
        <v>1</v>
      </c>
      <c r="E305" s="3"/>
      <c r="F305" s="3">
        <f t="shared" si="23"/>
        <v>189</v>
      </c>
      <c r="G305" s="3">
        <v>189</v>
      </c>
      <c r="H305" s="3">
        <f t="shared" si="22"/>
        <v>0</v>
      </c>
      <c r="I305" s="21">
        <f t="shared" si="27"/>
        <v>0</v>
      </c>
      <c r="J305" s="17"/>
    </row>
    <row r="306" spans="1:10" ht="13.5">
      <c r="A306" s="1">
        <v>11</v>
      </c>
      <c r="B306" s="2" t="s">
        <v>303</v>
      </c>
      <c r="C306" s="3">
        <v>204</v>
      </c>
      <c r="D306" s="3"/>
      <c r="E306" s="3"/>
      <c r="F306" s="3">
        <f t="shared" si="23"/>
        <v>204</v>
      </c>
      <c r="G306" s="3">
        <v>204</v>
      </c>
      <c r="H306" s="3">
        <f t="shared" si="22"/>
        <v>0</v>
      </c>
      <c r="I306" s="21">
        <f t="shared" si="27"/>
        <v>0</v>
      </c>
      <c r="J306" s="17"/>
    </row>
    <row r="307" spans="1:10" ht="13.5">
      <c r="A307" s="1">
        <v>12</v>
      </c>
      <c r="B307" s="2" t="s">
        <v>304</v>
      </c>
      <c r="C307" s="3">
        <v>79</v>
      </c>
      <c r="D307" s="3"/>
      <c r="E307" s="3"/>
      <c r="F307" s="3">
        <f t="shared" si="23"/>
        <v>79</v>
      </c>
      <c r="G307" s="3">
        <v>79</v>
      </c>
      <c r="H307" s="3">
        <f t="shared" si="22"/>
        <v>0</v>
      </c>
      <c r="I307" s="21">
        <f t="shared" si="27"/>
        <v>0</v>
      </c>
      <c r="J307" s="17"/>
    </row>
    <row r="308" spans="1:10" ht="13.5">
      <c r="A308" s="1">
        <v>13</v>
      </c>
      <c r="B308" s="2" t="s">
        <v>305</v>
      </c>
      <c r="C308" s="3">
        <v>73</v>
      </c>
      <c r="D308" s="3"/>
      <c r="E308" s="3"/>
      <c r="F308" s="3">
        <f t="shared" si="23"/>
        <v>73</v>
      </c>
      <c r="G308" s="3">
        <v>73</v>
      </c>
      <c r="H308" s="3">
        <f t="shared" si="22"/>
        <v>0</v>
      </c>
      <c r="I308" s="21">
        <f t="shared" si="27"/>
        <v>0</v>
      </c>
      <c r="J308" s="17"/>
    </row>
    <row r="309" spans="1:10" ht="13.5">
      <c r="A309" s="1">
        <v>14</v>
      </c>
      <c r="B309" s="2" t="s">
        <v>306</v>
      </c>
      <c r="C309" s="3">
        <v>609</v>
      </c>
      <c r="D309" s="3">
        <v>2</v>
      </c>
      <c r="E309" s="3">
        <v>5</v>
      </c>
      <c r="F309" s="3">
        <f t="shared" si="23"/>
        <v>602</v>
      </c>
      <c r="G309" s="3">
        <v>306</v>
      </c>
      <c r="H309" s="3">
        <v>0</v>
      </c>
      <c r="I309" s="21">
        <f t="shared" si="27"/>
        <v>0</v>
      </c>
      <c r="J309" s="17">
        <f>F309-G309</f>
        <v>296</v>
      </c>
    </row>
    <row r="310" spans="1:10" ht="13.5">
      <c r="A310" s="14" t="s">
        <v>469</v>
      </c>
      <c r="B310" s="15" t="s">
        <v>307</v>
      </c>
      <c r="C310" s="16">
        <f>SUM(C311:C323)</f>
        <v>4635</v>
      </c>
      <c r="D310" s="16">
        <f>SUM(D311:D323)</f>
        <v>11</v>
      </c>
      <c r="E310" s="16">
        <f>SUM(E311:E323)</f>
        <v>28</v>
      </c>
      <c r="F310" s="16">
        <f t="shared" si="23"/>
        <v>4596</v>
      </c>
      <c r="G310" s="16">
        <f>SUM(G311:G323)</f>
        <v>5034</v>
      </c>
      <c r="H310" s="16">
        <f>SUM(H311:H323)</f>
        <v>-723</v>
      </c>
      <c r="I310" s="23">
        <f>H310/-45579*13363</f>
        <v>211.9715000329099</v>
      </c>
      <c r="J310" s="17"/>
    </row>
    <row r="311" spans="1:10" ht="13.5">
      <c r="A311" s="1">
        <v>1</v>
      </c>
      <c r="B311" s="2" t="s">
        <v>308</v>
      </c>
      <c r="C311" s="3">
        <v>295</v>
      </c>
      <c r="D311" s="3">
        <v>2</v>
      </c>
      <c r="E311" s="3"/>
      <c r="F311" s="3">
        <f t="shared" si="23"/>
        <v>293</v>
      </c>
      <c r="G311" s="3">
        <v>302</v>
      </c>
      <c r="H311" s="3">
        <f t="shared" si="22"/>
        <v>-9</v>
      </c>
      <c r="I311" s="21">
        <f>H311/-723*212</f>
        <v>2.6390041493775933</v>
      </c>
      <c r="J311" s="17"/>
    </row>
    <row r="312" spans="1:10" ht="13.5">
      <c r="A312" s="1">
        <v>2</v>
      </c>
      <c r="B312" s="2" t="s">
        <v>309</v>
      </c>
      <c r="C312" s="3">
        <v>267</v>
      </c>
      <c r="D312" s="3"/>
      <c r="E312" s="3"/>
      <c r="F312" s="3">
        <f t="shared" si="23"/>
        <v>267</v>
      </c>
      <c r="G312" s="3">
        <v>593</v>
      </c>
      <c r="H312" s="3">
        <f t="shared" si="22"/>
        <v>-326</v>
      </c>
      <c r="I312" s="21">
        <f aca="true" t="shared" si="28" ref="I312:I323">H312/-723*212</f>
        <v>95.59059474412172</v>
      </c>
      <c r="J312" s="17"/>
    </row>
    <row r="313" spans="1:10" ht="13.5">
      <c r="A313" s="1">
        <v>3</v>
      </c>
      <c r="B313" s="2" t="s">
        <v>310</v>
      </c>
      <c r="C313" s="3">
        <v>515</v>
      </c>
      <c r="D313" s="3">
        <v>1</v>
      </c>
      <c r="E313" s="3">
        <v>5</v>
      </c>
      <c r="F313" s="3">
        <f t="shared" si="23"/>
        <v>509</v>
      </c>
      <c r="G313" s="3">
        <v>606</v>
      </c>
      <c r="H313" s="3">
        <f t="shared" si="22"/>
        <v>-97</v>
      </c>
      <c r="I313" s="21">
        <f t="shared" si="28"/>
        <v>28.44260027662517</v>
      </c>
      <c r="J313" s="17"/>
    </row>
    <row r="314" spans="1:10" ht="13.5">
      <c r="A314" s="1">
        <v>4</v>
      </c>
      <c r="B314" s="2" t="s">
        <v>311</v>
      </c>
      <c r="C314" s="3">
        <v>357</v>
      </c>
      <c r="D314" s="3"/>
      <c r="E314" s="3">
        <v>1</v>
      </c>
      <c r="F314" s="3">
        <f t="shared" si="23"/>
        <v>356</v>
      </c>
      <c r="G314" s="3">
        <v>325</v>
      </c>
      <c r="H314" s="3">
        <v>0</v>
      </c>
      <c r="I314" s="21">
        <f t="shared" si="28"/>
        <v>0</v>
      </c>
      <c r="J314" s="17">
        <f>F314-G314</f>
        <v>31</v>
      </c>
    </row>
    <row r="315" spans="1:10" ht="13.5">
      <c r="A315" s="1">
        <v>5</v>
      </c>
      <c r="B315" s="2" t="s">
        <v>312</v>
      </c>
      <c r="C315" s="3">
        <v>257</v>
      </c>
      <c r="D315" s="3">
        <v>1</v>
      </c>
      <c r="E315" s="3">
        <v>1</v>
      </c>
      <c r="F315" s="3">
        <f t="shared" si="23"/>
        <v>255</v>
      </c>
      <c r="G315" s="3">
        <v>375</v>
      </c>
      <c r="H315" s="3">
        <f t="shared" si="22"/>
        <v>-120</v>
      </c>
      <c r="I315" s="21">
        <f t="shared" si="28"/>
        <v>35.18672199170124</v>
      </c>
      <c r="J315" s="17"/>
    </row>
    <row r="316" spans="1:10" ht="13.5">
      <c r="A316" s="1">
        <v>6</v>
      </c>
      <c r="B316" s="2" t="s">
        <v>313</v>
      </c>
      <c r="C316" s="3">
        <v>411</v>
      </c>
      <c r="D316" s="3">
        <v>1</v>
      </c>
      <c r="E316" s="3">
        <v>5</v>
      </c>
      <c r="F316" s="3">
        <f t="shared" si="23"/>
        <v>405</v>
      </c>
      <c r="G316" s="3">
        <v>415</v>
      </c>
      <c r="H316" s="3">
        <f t="shared" si="22"/>
        <v>-10</v>
      </c>
      <c r="I316" s="21">
        <f t="shared" si="28"/>
        <v>2.93222683264177</v>
      </c>
      <c r="J316" s="17"/>
    </row>
    <row r="317" spans="1:10" ht="13.5">
      <c r="A317" s="1">
        <v>7</v>
      </c>
      <c r="B317" s="2" t="s">
        <v>314</v>
      </c>
      <c r="C317" s="3">
        <v>424</v>
      </c>
      <c r="D317" s="3"/>
      <c r="E317" s="3"/>
      <c r="F317" s="3">
        <f t="shared" si="23"/>
        <v>424</v>
      </c>
      <c r="G317" s="3">
        <v>399</v>
      </c>
      <c r="H317" s="3">
        <v>0</v>
      </c>
      <c r="I317" s="21">
        <f t="shared" si="28"/>
        <v>0</v>
      </c>
      <c r="J317" s="17">
        <f>F317-G317</f>
        <v>25</v>
      </c>
    </row>
    <row r="318" spans="1:10" ht="13.5">
      <c r="A318" s="1">
        <v>8</v>
      </c>
      <c r="B318" s="2" t="s">
        <v>315</v>
      </c>
      <c r="C318" s="3">
        <v>290</v>
      </c>
      <c r="D318" s="3"/>
      <c r="E318" s="3">
        <v>1</v>
      </c>
      <c r="F318" s="3">
        <f t="shared" si="23"/>
        <v>289</v>
      </c>
      <c r="G318" s="3">
        <v>383</v>
      </c>
      <c r="H318" s="3">
        <f t="shared" si="22"/>
        <v>-94</v>
      </c>
      <c r="I318" s="21">
        <f t="shared" si="28"/>
        <v>27.562932226832643</v>
      </c>
      <c r="J318" s="17"/>
    </row>
    <row r="319" spans="1:10" ht="13.5">
      <c r="A319" s="1">
        <v>9</v>
      </c>
      <c r="B319" s="2" t="s">
        <v>316</v>
      </c>
      <c r="C319" s="3">
        <v>302</v>
      </c>
      <c r="D319" s="3">
        <v>2</v>
      </c>
      <c r="E319" s="3"/>
      <c r="F319" s="3">
        <f t="shared" si="23"/>
        <v>300</v>
      </c>
      <c r="G319" s="3">
        <v>367</v>
      </c>
      <c r="H319" s="3">
        <f t="shared" si="22"/>
        <v>-67</v>
      </c>
      <c r="I319" s="21">
        <f t="shared" si="28"/>
        <v>19.645919778699863</v>
      </c>
      <c r="J319" s="17"/>
    </row>
    <row r="320" spans="1:10" ht="13.5">
      <c r="A320" s="1">
        <v>10</v>
      </c>
      <c r="B320" s="2" t="s">
        <v>317</v>
      </c>
      <c r="C320" s="3">
        <v>161</v>
      </c>
      <c r="D320" s="3"/>
      <c r="E320" s="3">
        <v>2</v>
      </c>
      <c r="F320" s="3">
        <f t="shared" si="23"/>
        <v>159</v>
      </c>
      <c r="G320" s="3">
        <v>159</v>
      </c>
      <c r="H320" s="3">
        <f t="shared" si="22"/>
        <v>0</v>
      </c>
      <c r="I320" s="21">
        <f t="shared" si="28"/>
        <v>0</v>
      </c>
      <c r="J320" s="17">
        <f>F320-G320</f>
        <v>0</v>
      </c>
    </row>
    <row r="321" spans="1:10" ht="13.5">
      <c r="A321" s="1">
        <v>11</v>
      </c>
      <c r="B321" s="2" t="s">
        <v>318</v>
      </c>
      <c r="C321" s="3"/>
      <c r="D321" s="3"/>
      <c r="E321" s="3"/>
      <c r="F321" s="3">
        <f t="shared" si="23"/>
        <v>0</v>
      </c>
      <c r="G321" s="3"/>
      <c r="H321" s="3">
        <f t="shared" si="22"/>
        <v>0</v>
      </c>
      <c r="I321" s="21">
        <f t="shared" si="28"/>
        <v>0</v>
      </c>
      <c r="J321" s="17">
        <f>F321-G321</f>
        <v>0</v>
      </c>
    </row>
    <row r="322" spans="1:10" ht="13.5">
      <c r="A322" s="1">
        <v>12</v>
      </c>
      <c r="B322" s="2" t="s">
        <v>319</v>
      </c>
      <c r="C322" s="3">
        <v>1062</v>
      </c>
      <c r="D322" s="3">
        <v>3</v>
      </c>
      <c r="E322" s="3">
        <v>10</v>
      </c>
      <c r="F322" s="3">
        <f t="shared" si="23"/>
        <v>1049</v>
      </c>
      <c r="G322" s="3">
        <v>849</v>
      </c>
      <c r="H322" s="3">
        <v>0</v>
      </c>
      <c r="I322" s="21">
        <f t="shared" si="28"/>
        <v>0</v>
      </c>
      <c r="J322" s="17">
        <f>F322-G322</f>
        <v>200</v>
      </c>
    </row>
    <row r="323" spans="1:10" ht="13.5">
      <c r="A323" s="1">
        <v>13</v>
      </c>
      <c r="B323" s="2" t="s">
        <v>320</v>
      </c>
      <c r="C323" s="3">
        <v>294</v>
      </c>
      <c r="D323" s="3">
        <v>1</v>
      </c>
      <c r="E323" s="3">
        <v>3</v>
      </c>
      <c r="F323" s="3">
        <f t="shared" si="23"/>
        <v>290</v>
      </c>
      <c r="G323" s="3">
        <v>261</v>
      </c>
      <c r="H323" s="3">
        <v>0</v>
      </c>
      <c r="I323" s="21">
        <f t="shared" si="28"/>
        <v>0</v>
      </c>
      <c r="J323" s="17">
        <f>F323-G323</f>
        <v>29</v>
      </c>
    </row>
    <row r="324" spans="1:10" ht="13.5">
      <c r="A324" s="14" t="s">
        <v>470</v>
      </c>
      <c r="B324" s="15" t="s">
        <v>321</v>
      </c>
      <c r="C324" s="16">
        <f>SUM(C325:C337)</f>
        <v>4201</v>
      </c>
      <c r="D324" s="16">
        <f>SUM(D325:D337)</f>
        <v>5</v>
      </c>
      <c r="E324" s="16">
        <f>SUM(E325:E337)</f>
        <v>7</v>
      </c>
      <c r="F324" s="16">
        <f t="shared" si="23"/>
        <v>4189</v>
      </c>
      <c r="G324" s="16">
        <f>SUM(G325:G337)</f>
        <v>4562</v>
      </c>
      <c r="H324" s="16">
        <f>SUM(H325:H337)</f>
        <v>-666</v>
      </c>
      <c r="I324" s="23">
        <f>H324/-45579*13363</f>
        <v>195.26005397222406</v>
      </c>
      <c r="J324" s="17"/>
    </row>
    <row r="325" spans="1:10" ht="13.5">
      <c r="A325" s="1">
        <v>1</v>
      </c>
      <c r="B325" s="2" t="s">
        <v>322</v>
      </c>
      <c r="C325" s="3">
        <v>271</v>
      </c>
      <c r="D325" s="3">
        <v>1</v>
      </c>
      <c r="E325" s="3"/>
      <c r="F325" s="3">
        <f t="shared" si="23"/>
        <v>270</v>
      </c>
      <c r="G325" s="3">
        <v>509</v>
      </c>
      <c r="H325" s="3">
        <f t="shared" si="22"/>
        <v>-239</v>
      </c>
      <c r="I325" s="21">
        <f>H325/666*-195</f>
        <v>69.97747747747748</v>
      </c>
      <c r="J325" s="17"/>
    </row>
    <row r="326" spans="1:10" ht="13.5">
      <c r="A326" s="1">
        <v>2</v>
      </c>
      <c r="B326" s="2" t="s">
        <v>323</v>
      </c>
      <c r="C326" s="3">
        <v>804</v>
      </c>
      <c r="D326" s="3"/>
      <c r="E326" s="3"/>
      <c r="F326" s="3">
        <f t="shared" si="23"/>
        <v>804</v>
      </c>
      <c r="G326" s="3">
        <v>958</v>
      </c>
      <c r="H326" s="3">
        <f t="shared" si="22"/>
        <v>-154</v>
      </c>
      <c r="I326" s="21">
        <f aca="true" t="shared" si="29" ref="I326:I337">H326/666*-195</f>
        <v>45.090090090090094</v>
      </c>
      <c r="J326" s="17"/>
    </row>
    <row r="327" spans="1:10" ht="13.5">
      <c r="A327" s="1">
        <v>3</v>
      </c>
      <c r="B327" s="2" t="s">
        <v>324</v>
      </c>
      <c r="C327" s="3">
        <v>222</v>
      </c>
      <c r="D327" s="3"/>
      <c r="E327" s="3">
        <v>1</v>
      </c>
      <c r="F327" s="3">
        <f t="shared" si="23"/>
        <v>221</v>
      </c>
      <c r="G327" s="3">
        <v>308</v>
      </c>
      <c r="H327" s="3">
        <f t="shared" si="22"/>
        <v>-87</v>
      </c>
      <c r="I327" s="21">
        <f t="shared" si="29"/>
        <v>25.472972972972972</v>
      </c>
      <c r="J327" s="17"/>
    </row>
    <row r="328" spans="1:10" ht="13.5">
      <c r="A328" s="1">
        <v>4</v>
      </c>
      <c r="B328" s="2" t="s">
        <v>325</v>
      </c>
      <c r="C328" s="3">
        <v>193</v>
      </c>
      <c r="D328" s="3">
        <v>1</v>
      </c>
      <c r="E328" s="3"/>
      <c r="F328" s="3">
        <f t="shared" si="23"/>
        <v>192</v>
      </c>
      <c r="G328" s="3">
        <v>223</v>
      </c>
      <c r="H328" s="3">
        <f aca="true" t="shared" si="30" ref="H328:H391">F328-G328</f>
        <v>-31</v>
      </c>
      <c r="I328" s="21">
        <f t="shared" si="29"/>
        <v>9.076576576576576</v>
      </c>
      <c r="J328" s="17"/>
    </row>
    <row r="329" spans="1:10" ht="13.5">
      <c r="A329" s="1">
        <v>5</v>
      </c>
      <c r="B329" s="2" t="s">
        <v>326</v>
      </c>
      <c r="C329" s="3">
        <v>116</v>
      </c>
      <c r="D329" s="3"/>
      <c r="E329" s="3"/>
      <c r="F329" s="3">
        <f t="shared" si="23"/>
        <v>116</v>
      </c>
      <c r="G329" s="3">
        <v>67</v>
      </c>
      <c r="H329" s="3">
        <v>0</v>
      </c>
      <c r="I329" s="21">
        <f t="shared" si="29"/>
        <v>0</v>
      </c>
      <c r="J329" s="17">
        <f aca="true" t="shared" si="31" ref="J329:J334">F329-G329</f>
        <v>49</v>
      </c>
    </row>
    <row r="330" spans="1:10" ht="13.5">
      <c r="A330" s="1">
        <v>6</v>
      </c>
      <c r="B330" s="2" t="s">
        <v>327</v>
      </c>
      <c r="C330" s="3">
        <v>244</v>
      </c>
      <c r="D330" s="3"/>
      <c r="E330" s="3"/>
      <c r="F330" s="3">
        <f t="shared" si="23"/>
        <v>244</v>
      </c>
      <c r="G330" s="3">
        <v>211</v>
      </c>
      <c r="H330" s="3">
        <v>0</v>
      </c>
      <c r="I330" s="21">
        <f t="shared" si="29"/>
        <v>0</v>
      </c>
      <c r="J330" s="17">
        <f t="shared" si="31"/>
        <v>33</v>
      </c>
    </row>
    <row r="331" spans="1:10" ht="13.5">
      <c r="A331" s="1">
        <v>7</v>
      </c>
      <c r="B331" s="2" t="s">
        <v>328</v>
      </c>
      <c r="C331" s="3">
        <v>136</v>
      </c>
      <c r="D331" s="3"/>
      <c r="E331" s="3"/>
      <c r="F331" s="3">
        <f aca="true" t="shared" si="32" ref="F331:F394">C331-E331-D331</f>
        <v>136</v>
      </c>
      <c r="G331" s="3">
        <v>45</v>
      </c>
      <c r="H331" s="3">
        <v>0</v>
      </c>
      <c r="I331" s="21">
        <f t="shared" si="29"/>
        <v>0</v>
      </c>
      <c r="J331" s="17">
        <f t="shared" si="31"/>
        <v>91</v>
      </c>
    </row>
    <row r="332" spans="1:10" ht="13.5">
      <c r="A332" s="1">
        <v>8</v>
      </c>
      <c r="B332" s="2" t="s">
        <v>329</v>
      </c>
      <c r="C332" s="3">
        <v>64</v>
      </c>
      <c r="D332" s="3"/>
      <c r="E332" s="3"/>
      <c r="F332" s="3">
        <f t="shared" si="32"/>
        <v>64</v>
      </c>
      <c r="G332" s="3">
        <v>29</v>
      </c>
      <c r="H332" s="3">
        <v>0</v>
      </c>
      <c r="I332" s="21">
        <f t="shared" si="29"/>
        <v>0</v>
      </c>
      <c r="J332" s="17">
        <f t="shared" si="31"/>
        <v>35</v>
      </c>
    </row>
    <row r="333" spans="1:10" ht="13.5">
      <c r="A333" s="1">
        <v>9</v>
      </c>
      <c r="B333" s="2" t="s">
        <v>330</v>
      </c>
      <c r="C333" s="3">
        <v>92</v>
      </c>
      <c r="D333" s="3"/>
      <c r="E333" s="3"/>
      <c r="F333" s="3">
        <f t="shared" si="32"/>
        <v>92</v>
      </c>
      <c r="G333" s="3">
        <v>92</v>
      </c>
      <c r="H333" s="3">
        <f t="shared" si="30"/>
        <v>0</v>
      </c>
      <c r="I333" s="21">
        <f t="shared" si="29"/>
        <v>0</v>
      </c>
      <c r="J333" s="17">
        <f t="shared" si="31"/>
        <v>0</v>
      </c>
    </row>
    <row r="334" spans="1:10" ht="13.5">
      <c r="A334" s="1">
        <v>10</v>
      </c>
      <c r="B334" s="2" t="s">
        <v>331</v>
      </c>
      <c r="C334" s="3">
        <v>656</v>
      </c>
      <c r="D334" s="3">
        <v>2</v>
      </c>
      <c r="E334" s="3">
        <v>3</v>
      </c>
      <c r="F334" s="3">
        <f t="shared" si="32"/>
        <v>651</v>
      </c>
      <c r="G334" s="3">
        <v>566</v>
      </c>
      <c r="H334" s="3">
        <v>0</v>
      </c>
      <c r="I334" s="21">
        <f t="shared" si="29"/>
        <v>0</v>
      </c>
      <c r="J334" s="17">
        <f t="shared" si="31"/>
        <v>85</v>
      </c>
    </row>
    <row r="335" spans="1:10" ht="13.5">
      <c r="A335" s="1">
        <v>11</v>
      </c>
      <c r="B335" s="2" t="s">
        <v>332</v>
      </c>
      <c r="C335" s="3">
        <v>1155</v>
      </c>
      <c r="D335" s="3">
        <v>1</v>
      </c>
      <c r="E335" s="3">
        <v>3</v>
      </c>
      <c r="F335" s="3">
        <f t="shared" si="32"/>
        <v>1151</v>
      </c>
      <c r="G335" s="3">
        <v>1160</v>
      </c>
      <c r="H335" s="3">
        <f t="shared" si="30"/>
        <v>-9</v>
      </c>
      <c r="I335" s="21">
        <f t="shared" si="29"/>
        <v>2.635135135135135</v>
      </c>
      <c r="J335" s="17"/>
    </row>
    <row r="336" spans="1:10" ht="13.5">
      <c r="A336" s="1">
        <v>12</v>
      </c>
      <c r="B336" s="2" t="s">
        <v>333</v>
      </c>
      <c r="C336" s="3">
        <v>172</v>
      </c>
      <c r="D336" s="3"/>
      <c r="E336" s="3"/>
      <c r="F336" s="3">
        <f t="shared" si="32"/>
        <v>172</v>
      </c>
      <c r="G336" s="3">
        <v>298</v>
      </c>
      <c r="H336" s="3">
        <f t="shared" si="30"/>
        <v>-126</v>
      </c>
      <c r="I336" s="21">
        <f t="shared" si="29"/>
        <v>36.891891891891895</v>
      </c>
      <c r="J336" s="17"/>
    </row>
    <row r="337" spans="1:10" ht="13.5">
      <c r="A337" s="1">
        <v>13</v>
      </c>
      <c r="B337" s="2" t="s">
        <v>334</v>
      </c>
      <c r="C337" s="3">
        <v>76</v>
      </c>
      <c r="D337" s="3"/>
      <c r="E337" s="3"/>
      <c r="F337" s="3">
        <f t="shared" si="32"/>
        <v>76</v>
      </c>
      <c r="G337" s="3">
        <v>96</v>
      </c>
      <c r="H337" s="3">
        <f t="shared" si="30"/>
        <v>-20</v>
      </c>
      <c r="I337" s="21">
        <f t="shared" si="29"/>
        <v>5.8558558558558556</v>
      </c>
      <c r="J337" s="17"/>
    </row>
    <row r="338" spans="1:10" ht="13.5">
      <c r="A338" s="14" t="s">
        <v>471</v>
      </c>
      <c r="B338" s="15" t="s">
        <v>335</v>
      </c>
      <c r="C338" s="16">
        <f>SUM(C339:C345)</f>
        <v>5625</v>
      </c>
      <c r="D338" s="16">
        <f>SUM(D339:D345)</f>
        <v>15</v>
      </c>
      <c r="E338" s="16">
        <f>SUM(E339:E345)</f>
        <v>36</v>
      </c>
      <c r="F338" s="16">
        <f t="shared" si="32"/>
        <v>5574</v>
      </c>
      <c r="G338" s="16">
        <f>SUM(G339:G345)</f>
        <v>5109</v>
      </c>
      <c r="H338" s="16">
        <f>SUM(H339:H345)</f>
        <v>-359</v>
      </c>
      <c r="I338" s="23">
        <f>H338/-45579*13363</f>
        <v>105.25279185589855</v>
      </c>
      <c r="J338" s="17"/>
    </row>
    <row r="339" spans="1:10" ht="13.5">
      <c r="A339" s="1">
        <v>1</v>
      </c>
      <c r="B339" s="2" t="s">
        <v>336</v>
      </c>
      <c r="C339" s="3">
        <v>865</v>
      </c>
      <c r="D339" s="3">
        <v>1</v>
      </c>
      <c r="E339" s="3">
        <v>1</v>
      </c>
      <c r="F339" s="3">
        <f t="shared" si="32"/>
        <v>863</v>
      </c>
      <c r="G339" s="3">
        <v>890</v>
      </c>
      <c r="H339" s="3">
        <f t="shared" si="30"/>
        <v>-27</v>
      </c>
      <c r="I339" s="21">
        <f>H339/-359*105</f>
        <v>7.896935933147633</v>
      </c>
      <c r="J339" s="17"/>
    </row>
    <row r="340" spans="1:10" ht="13.5">
      <c r="A340" s="1">
        <v>2</v>
      </c>
      <c r="B340" s="2" t="s">
        <v>337</v>
      </c>
      <c r="C340" s="3">
        <v>2594</v>
      </c>
      <c r="D340" s="3">
        <v>9</v>
      </c>
      <c r="E340" s="3">
        <v>21</v>
      </c>
      <c r="F340" s="3">
        <f t="shared" si="32"/>
        <v>2564</v>
      </c>
      <c r="G340" s="3">
        <v>2104</v>
      </c>
      <c r="H340" s="3">
        <v>0</v>
      </c>
      <c r="I340" s="21">
        <f aca="true" t="shared" si="33" ref="I340:I345">H340/-359*105</f>
        <v>0</v>
      </c>
      <c r="J340" s="17">
        <f>F340-G340</f>
        <v>460</v>
      </c>
    </row>
    <row r="341" spans="1:10" ht="13.5">
      <c r="A341" s="1">
        <v>3</v>
      </c>
      <c r="B341" s="2" t="s">
        <v>338</v>
      </c>
      <c r="C341" s="3">
        <v>528</v>
      </c>
      <c r="D341" s="3">
        <v>1</v>
      </c>
      <c r="E341" s="3">
        <v>4</v>
      </c>
      <c r="F341" s="3">
        <f t="shared" si="32"/>
        <v>523</v>
      </c>
      <c r="G341" s="3">
        <v>740</v>
      </c>
      <c r="H341" s="3">
        <f t="shared" si="30"/>
        <v>-217</v>
      </c>
      <c r="I341" s="21">
        <f t="shared" si="33"/>
        <v>63.467966573816156</v>
      </c>
      <c r="J341" s="17"/>
    </row>
    <row r="342" spans="1:10" ht="13.5">
      <c r="A342" s="1">
        <v>4</v>
      </c>
      <c r="B342" s="2" t="s">
        <v>339</v>
      </c>
      <c r="C342" s="3">
        <v>238</v>
      </c>
      <c r="D342" s="3"/>
      <c r="E342" s="3">
        <v>1</v>
      </c>
      <c r="F342" s="3">
        <f t="shared" si="32"/>
        <v>237</v>
      </c>
      <c r="G342" s="3">
        <v>237</v>
      </c>
      <c r="H342" s="3">
        <f t="shared" si="30"/>
        <v>0</v>
      </c>
      <c r="I342" s="21">
        <f t="shared" si="33"/>
        <v>0</v>
      </c>
      <c r="J342" s="17">
        <f>F342-G342</f>
        <v>0</v>
      </c>
    </row>
    <row r="343" spans="1:10" ht="13.5">
      <c r="A343" s="1">
        <v>5</v>
      </c>
      <c r="B343" s="2" t="s">
        <v>340</v>
      </c>
      <c r="C343" s="3"/>
      <c r="D343" s="3"/>
      <c r="E343" s="3"/>
      <c r="F343" s="3">
        <f t="shared" si="32"/>
        <v>0</v>
      </c>
      <c r="G343" s="3"/>
      <c r="H343" s="3">
        <f t="shared" si="30"/>
        <v>0</v>
      </c>
      <c r="I343" s="21">
        <f t="shared" si="33"/>
        <v>0</v>
      </c>
      <c r="J343" s="17">
        <f>F343-G343</f>
        <v>0</v>
      </c>
    </row>
    <row r="344" spans="1:10" ht="13.5">
      <c r="A344" s="1">
        <v>6</v>
      </c>
      <c r="B344" s="2" t="s">
        <v>341</v>
      </c>
      <c r="C344" s="3">
        <v>1078</v>
      </c>
      <c r="D344" s="3">
        <v>4</v>
      </c>
      <c r="E344" s="3">
        <v>9</v>
      </c>
      <c r="F344" s="3">
        <f t="shared" si="32"/>
        <v>1065</v>
      </c>
      <c r="G344" s="3">
        <v>701</v>
      </c>
      <c r="H344" s="3">
        <v>0</v>
      </c>
      <c r="I344" s="21">
        <f t="shared" si="33"/>
        <v>0</v>
      </c>
      <c r="J344" s="17">
        <f>F344-G344</f>
        <v>364</v>
      </c>
    </row>
    <row r="345" spans="1:10" ht="13.5">
      <c r="A345" s="1">
        <v>7</v>
      </c>
      <c r="B345" s="2" t="s">
        <v>342</v>
      </c>
      <c r="C345" s="3">
        <v>322</v>
      </c>
      <c r="D345" s="3"/>
      <c r="E345" s="3"/>
      <c r="F345" s="3">
        <f t="shared" si="32"/>
        <v>322</v>
      </c>
      <c r="G345" s="3">
        <v>437</v>
      </c>
      <c r="H345" s="3">
        <f t="shared" si="30"/>
        <v>-115</v>
      </c>
      <c r="I345" s="21">
        <f t="shared" si="33"/>
        <v>33.63509749303621</v>
      </c>
      <c r="J345" s="17"/>
    </row>
    <row r="346" spans="1:10" ht="13.5">
      <c r="A346" s="14" t="s">
        <v>472</v>
      </c>
      <c r="B346" s="15" t="s">
        <v>343</v>
      </c>
      <c r="C346" s="16">
        <f>SUM(C347:C355)</f>
        <v>4160</v>
      </c>
      <c r="D346" s="16">
        <f>SUM(D347:D355)</f>
        <v>8</v>
      </c>
      <c r="E346" s="16">
        <f>SUM(E347:E355)</f>
        <v>14</v>
      </c>
      <c r="F346" s="16">
        <f t="shared" si="32"/>
        <v>4138</v>
      </c>
      <c r="G346" s="16">
        <f>SUM(G347:G355)</f>
        <v>5434</v>
      </c>
      <c r="H346" s="16">
        <f>SUM(H347:H355)</f>
        <v>-1344</v>
      </c>
      <c r="I346" s="23">
        <f>H346/-45579*13363</f>
        <v>394.0383071151188</v>
      </c>
      <c r="J346" s="17"/>
    </row>
    <row r="347" spans="1:10" ht="13.5">
      <c r="A347" s="1">
        <v>1</v>
      </c>
      <c r="B347" s="2" t="s">
        <v>344</v>
      </c>
      <c r="C347" s="3">
        <v>514</v>
      </c>
      <c r="D347" s="3"/>
      <c r="E347" s="3">
        <v>1</v>
      </c>
      <c r="F347" s="3">
        <f t="shared" si="32"/>
        <v>513</v>
      </c>
      <c r="G347" s="3">
        <v>564</v>
      </c>
      <c r="H347" s="3">
        <f t="shared" si="30"/>
        <v>-51</v>
      </c>
      <c r="I347" s="21">
        <f>H347/1344*-394</f>
        <v>14.950892857142856</v>
      </c>
      <c r="J347" s="17"/>
    </row>
    <row r="348" spans="1:10" ht="13.5">
      <c r="A348" s="1">
        <v>2</v>
      </c>
      <c r="B348" s="2" t="s">
        <v>345</v>
      </c>
      <c r="C348" s="3">
        <v>651</v>
      </c>
      <c r="D348" s="3">
        <v>4</v>
      </c>
      <c r="E348" s="3">
        <v>3</v>
      </c>
      <c r="F348" s="3">
        <f t="shared" si="32"/>
        <v>644</v>
      </c>
      <c r="G348" s="3">
        <v>753</v>
      </c>
      <c r="H348" s="3">
        <f t="shared" si="30"/>
        <v>-109</v>
      </c>
      <c r="I348" s="21">
        <f aca="true" t="shared" si="34" ref="I348:I355">H348/1344*-394</f>
        <v>31.953869047619047</v>
      </c>
      <c r="J348" s="17"/>
    </row>
    <row r="349" spans="1:10" ht="13.5">
      <c r="A349" s="1">
        <v>3</v>
      </c>
      <c r="B349" s="2" t="s">
        <v>346</v>
      </c>
      <c r="C349" s="3">
        <v>806</v>
      </c>
      <c r="D349" s="3">
        <v>1</v>
      </c>
      <c r="E349" s="3">
        <v>3</v>
      </c>
      <c r="F349" s="3">
        <f t="shared" si="32"/>
        <v>802</v>
      </c>
      <c r="G349" s="3">
        <v>1216</v>
      </c>
      <c r="H349" s="3">
        <f t="shared" si="30"/>
        <v>-414</v>
      </c>
      <c r="I349" s="21">
        <f t="shared" si="34"/>
        <v>121.36607142857143</v>
      </c>
      <c r="J349" s="17"/>
    </row>
    <row r="350" spans="1:10" ht="13.5">
      <c r="A350" s="1">
        <v>4</v>
      </c>
      <c r="B350" s="2" t="s">
        <v>347</v>
      </c>
      <c r="C350" s="3">
        <v>280</v>
      </c>
      <c r="D350" s="3"/>
      <c r="E350" s="3"/>
      <c r="F350" s="3">
        <f t="shared" si="32"/>
        <v>280</v>
      </c>
      <c r="G350" s="3">
        <v>245</v>
      </c>
      <c r="H350" s="3">
        <v>0</v>
      </c>
      <c r="I350" s="21">
        <f t="shared" si="34"/>
        <v>0</v>
      </c>
      <c r="J350" s="17">
        <f>F350-G350</f>
        <v>35</v>
      </c>
    </row>
    <row r="351" spans="1:10" ht="13.5">
      <c r="A351" s="1">
        <v>5</v>
      </c>
      <c r="B351" s="2" t="s">
        <v>348</v>
      </c>
      <c r="C351" s="3">
        <v>197</v>
      </c>
      <c r="D351" s="3"/>
      <c r="E351" s="3">
        <v>2</v>
      </c>
      <c r="F351" s="3">
        <f t="shared" si="32"/>
        <v>195</v>
      </c>
      <c r="G351" s="3">
        <v>208</v>
      </c>
      <c r="H351" s="3">
        <f t="shared" si="30"/>
        <v>-13</v>
      </c>
      <c r="I351" s="21">
        <f t="shared" si="34"/>
        <v>3.811011904761905</v>
      </c>
      <c r="J351" s="17"/>
    </row>
    <row r="352" spans="1:10" ht="13.5">
      <c r="A352" s="1">
        <v>6</v>
      </c>
      <c r="B352" s="2" t="s">
        <v>349</v>
      </c>
      <c r="C352" s="3">
        <v>279</v>
      </c>
      <c r="D352" s="3">
        <v>1</v>
      </c>
      <c r="E352" s="3"/>
      <c r="F352" s="3">
        <f t="shared" si="32"/>
        <v>278</v>
      </c>
      <c r="G352" s="3">
        <v>273</v>
      </c>
      <c r="H352" s="3">
        <v>0</v>
      </c>
      <c r="I352" s="21">
        <f t="shared" si="34"/>
        <v>0</v>
      </c>
      <c r="J352" s="17">
        <f>F352-G352</f>
        <v>5</v>
      </c>
    </row>
    <row r="353" spans="1:10" ht="13.5">
      <c r="A353" s="1">
        <v>7</v>
      </c>
      <c r="B353" s="2" t="s">
        <v>350</v>
      </c>
      <c r="C353" s="3">
        <v>186</v>
      </c>
      <c r="D353" s="3"/>
      <c r="E353" s="3">
        <v>1</v>
      </c>
      <c r="F353" s="3">
        <f t="shared" si="32"/>
        <v>185</v>
      </c>
      <c r="G353" s="3">
        <v>942</v>
      </c>
      <c r="H353" s="3">
        <f t="shared" si="30"/>
        <v>-757</v>
      </c>
      <c r="I353" s="21">
        <f t="shared" si="34"/>
        <v>221.9181547619048</v>
      </c>
      <c r="J353" s="17"/>
    </row>
    <row r="354" spans="1:10" ht="13.5">
      <c r="A354" s="1">
        <v>8</v>
      </c>
      <c r="B354" s="2" t="s">
        <v>351</v>
      </c>
      <c r="C354" s="3">
        <v>407</v>
      </c>
      <c r="D354" s="3"/>
      <c r="E354" s="3"/>
      <c r="F354" s="3">
        <f t="shared" si="32"/>
        <v>407</v>
      </c>
      <c r="G354" s="3">
        <v>407</v>
      </c>
      <c r="H354" s="3">
        <f t="shared" si="30"/>
        <v>0</v>
      </c>
      <c r="I354" s="21">
        <f t="shared" si="34"/>
        <v>0</v>
      </c>
      <c r="J354" s="17">
        <f>F354-G354</f>
        <v>0</v>
      </c>
    </row>
    <row r="355" spans="1:10" ht="13.5">
      <c r="A355" s="1">
        <v>9</v>
      </c>
      <c r="B355" s="2" t="s">
        <v>352</v>
      </c>
      <c r="C355" s="3">
        <v>840</v>
      </c>
      <c r="D355" s="3">
        <v>2</v>
      </c>
      <c r="E355" s="3">
        <v>4</v>
      </c>
      <c r="F355" s="3">
        <f t="shared" si="32"/>
        <v>834</v>
      </c>
      <c r="G355" s="3">
        <v>826</v>
      </c>
      <c r="H355" s="3">
        <v>0</v>
      </c>
      <c r="I355" s="21">
        <f t="shared" si="34"/>
        <v>0</v>
      </c>
      <c r="J355" s="17">
        <f>F355-G355</f>
        <v>8</v>
      </c>
    </row>
    <row r="356" spans="1:10" ht="13.5">
      <c r="A356" s="14" t="s">
        <v>473</v>
      </c>
      <c r="B356" s="15" t="s">
        <v>353</v>
      </c>
      <c r="C356" s="16">
        <f>SUM(C357:C384)</f>
        <v>14843</v>
      </c>
      <c r="D356" s="16">
        <f>SUM(D357:D384)</f>
        <v>50</v>
      </c>
      <c r="E356" s="16">
        <f>SUM(E357:E384)</f>
        <v>181</v>
      </c>
      <c r="F356" s="16">
        <f t="shared" si="32"/>
        <v>14612</v>
      </c>
      <c r="G356" s="16">
        <f>SUM(G357:G384)</f>
        <v>14840</v>
      </c>
      <c r="H356" s="16">
        <f>SUM(H357:H384)</f>
        <v>-2085</v>
      </c>
      <c r="I356" s="23">
        <f>H356/-45579*13363</f>
        <v>611.2871059040347</v>
      </c>
      <c r="J356" s="17"/>
    </row>
    <row r="357" spans="1:10" ht="13.5">
      <c r="A357" s="1">
        <v>1</v>
      </c>
      <c r="B357" s="2" t="s">
        <v>354</v>
      </c>
      <c r="C357" s="3">
        <v>284</v>
      </c>
      <c r="D357" s="3">
        <v>1</v>
      </c>
      <c r="E357" s="3">
        <v>4</v>
      </c>
      <c r="F357" s="3">
        <f t="shared" si="32"/>
        <v>279</v>
      </c>
      <c r="G357" s="3">
        <v>430</v>
      </c>
      <c r="H357" s="3">
        <f t="shared" si="30"/>
        <v>-151</v>
      </c>
      <c r="I357" s="21">
        <f>H357/2085*-611</f>
        <v>44.24988009592326</v>
      </c>
      <c r="J357" s="17"/>
    </row>
    <row r="358" spans="1:10" ht="13.5">
      <c r="A358" s="1">
        <v>2</v>
      </c>
      <c r="B358" s="2" t="s">
        <v>355</v>
      </c>
      <c r="C358" s="3">
        <v>729</v>
      </c>
      <c r="D358" s="3">
        <v>6</v>
      </c>
      <c r="E358" s="3">
        <v>12</v>
      </c>
      <c r="F358" s="3">
        <f t="shared" si="32"/>
        <v>711</v>
      </c>
      <c r="G358" s="3">
        <v>694</v>
      </c>
      <c r="H358" s="3">
        <v>0</v>
      </c>
      <c r="I358" s="21">
        <f aca="true" t="shared" si="35" ref="I358:I384">H358/2085*-611</f>
        <v>0</v>
      </c>
      <c r="J358" s="17">
        <f>F358-G358</f>
        <v>17</v>
      </c>
    </row>
    <row r="359" spans="1:10" ht="13.5">
      <c r="A359" s="1">
        <v>3</v>
      </c>
      <c r="B359" s="2" t="s">
        <v>356</v>
      </c>
      <c r="C359" s="3">
        <v>228</v>
      </c>
      <c r="D359" s="3"/>
      <c r="E359" s="3">
        <v>1</v>
      </c>
      <c r="F359" s="3">
        <f t="shared" si="32"/>
        <v>227</v>
      </c>
      <c r="G359" s="3">
        <v>259</v>
      </c>
      <c r="H359" s="3">
        <f t="shared" si="30"/>
        <v>-32</v>
      </c>
      <c r="I359" s="21">
        <f t="shared" si="35"/>
        <v>9.377458033573141</v>
      </c>
      <c r="J359" s="17"/>
    </row>
    <row r="360" spans="1:10" ht="13.5">
      <c r="A360" s="1">
        <v>4</v>
      </c>
      <c r="B360" s="2" t="s">
        <v>357</v>
      </c>
      <c r="C360" s="3">
        <v>425</v>
      </c>
      <c r="D360" s="3">
        <v>1</v>
      </c>
      <c r="E360" s="3">
        <v>1</v>
      </c>
      <c r="F360" s="3">
        <f t="shared" si="32"/>
        <v>423</v>
      </c>
      <c r="G360" s="3">
        <v>470</v>
      </c>
      <c r="H360" s="3">
        <f t="shared" si="30"/>
        <v>-47</v>
      </c>
      <c r="I360" s="21">
        <f t="shared" si="35"/>
        <v>13.773141486810552</v>
      </c>
      <c r="J360" s="17"/>
    </row>
    <row r="361" spans="1:10" ht="13.5">
      <c r="A361" s="1">
        <v>5</v>
      </c>
      <c r="B361" s="2" t="s">
        <v>358</v>
      </c>
      <c r="C361" s="3">
        <v>524</v>
      </c>
      <c r="D361" s="3">
        <v>1</v>
      </c>
      <c r="E361" s="3">
        <v>4</v>
      </c>
      <c r="F361" s="3">
        <f t="shared" si="32"/>
        <v>519</v>
      </c>
      <c r="G361" s="3">
        <v>508</v>
      </c>
      <c r="H361" s="3">
        <v>0</v>
      </c>
      <c r="I361" s="21">
        <f t="shared" si="35"/>
        <v>0</v>
      </c>
      <c r="J361" s="17">
        <f>F361-G361</f>
        <v>11</v>
      </c>
    </row>
    <row r="362" spans="1:10" ht="13.5">
      <c r="A362" s="1">
        <v>6</v>
      </c>
      <c r="B362" s="2" t="s">
        <v>359</v>
      </c>
      <c r="C362" s="3">
        <v>841</v>
      </c>
      <c r="D362" s="3"/>
      <c r="E362" s="3">
        <v>7</v>
      </c>
      <c r="F362" s="3">
        <f t="shared" si="32"/>
        <v>834</v>
      </c>
      <c r="G362" s="3">
        <v>636</v>
      </c>
      <c r="H362" s="3">
        <v>0</v>
      </c>
      <c r="I362" s="21">
        <f t="shared" si="35"/>
        <v>0</v>
      </c>
      <c r="J362" s="17">
        <f>F362-G362</f>
        <v>198</v>
      </c>
    </row>
    <row r="363" spans="1:10" ht="13.5">
      <c r="A363" s="1">
        <v>7</v>
      </c>
      <c r="B363" s="2" t="s">
        <v>360</v>
      </c>
      <c r="C363" s="3">
        <v>469</v>
      </c>
      <c r="D363" s="3">
        <v>3</v>
      </c>
      <c r="E363" s="3"/>
      <c r="F363" s="3">
        <f t="shared" si="32"/>
        <v>466</v>
      </c>
      <c r="G363" s="3">
        <v>507</v>
      </c>
      <c r="H363" s="3">
        <f t="shared" si="30"/>
        <v>-41</v>
      </c>
      <c r="I363" s="21">
        <f t="shared" si="35"/>
        <v>12.014868105515587</v>
      </c>
      <c r="J363" s="17"/>
    </row>
    <row r="364" spans="1:10" ht="13.5">
      <c r="A364" s="1">
        <v>8</v>
      </c>
      <c r="B364" s="2" t="s">
        <v>361</v>
      </c>
      <c r="C364" s="3">
        <v>556</v>
      </c>
      <c r="D364" s="3"/>
      <c r="E364" s="3">
        <v>2</v>
      </c>
      <c r="F364" s="3">
        <f t="shared" si="32"/>
        <v>554</v>
      </c>
      <c r="G364" s="3">
        <v>509</v>
      </c>
      <c r="H364" s="3">
        <v>0</v>
      </c>
      <c r="I364" s="21">
        <f t="shared" si="35"/>
        <v>0</v>
      </c>
      <c r="J364" s="17">
        <f>F364-G364</f>
        <v>45</v>
      </c>
    </row>
    <row r="365" spans="1:10" ht="13.5">
      <c r="A365" s="1">
        <v>9</v>
      </c>
      <c r="B365" s="2" t="s">
        <v>362</v>
      </c>
      <c r="C365" s="3">
        <v>478</v>
      </c>
      <c r="D365" s="3"/>
      <c r="E365" s="3">
        <v>1</v>
      </c>
      <c r="F365" s="3">
        <f t="shared" si="32"/>
        <v>477</v>
      </c>
      <c r="G365" s="3">
        <v>430</v>
      </c>
      <c r="H365" s="3">
        <v>0</v>
      </c>
      <c r="I365" s="21">
        <f t="shared" si="35"/>
        <v>0</v>
      </c>
      <c r="J365" s="17">
        <f>F365-G365</f>
        <v>47</v>
      </c>
    </row>
    <row r="366" spans="1:10" ht="13.5">
      <c r="A366" s="1">
        <v>10</v>
      </c>
      <c r="B366" s="2" t="s">
        <v>363</v>
      </c>
      <c r="C366" s="3">
        <v>403</v>
      </c>
      <c r="D366" s="3">
        <v>1</v>
      </c>
      <c r="E366" s="3">
        <v>6</v>
      </c>
      <c r="F366" s="3">
        <f t="shared" si="32"/>
        <v>396</v>
      </c>
      <c r="G366" s="3">
        <v>366</v>
      </c>
      <c r="H366" s="3">
        <v>0</v>
      </c>
      <c r="I366" s="21">
        <f t="shared" si="35"/>
        <v>0</v>
      </c>
      <c r="J366" s="17">
        <f>F366-G366</f>
        <v>30</v>
      </c>
    </row>
    <row r="367" spans="1:10" ht="13.5">
      <c r="A367" s="1">
        <v>11</v>
      </c>
      <c r="B367" s="2" t="s">
        <v>364</v>
      </c>
      <c r="C367" s="3">
        <v>1161</v>
      </c>
      <c r="D367" s="3">
        <v>4</v>
      </c>
      <c r="E367" s="3">
        <v>12</v>
      </c>
      <c r="F367" s="3">
        <f t="shared" si="32"/>
        <v>1145</v>
      </c>
      <c r="G367" s="3">
        <v>1013</v>
      </c>
      <c r="H367" s="3">
        <v>0</v>
      </c>
      <c r="I367" s="21">
        <f t="shared" si="35"/>
        <v>0</v>
      </c>
      <c r="J367" s="17">
        <f>F367-G367</f>
        <v>132</v>
      </c>
    </row>
    <row r="368" spans="1:10" ht="13.5">
      <c r="A368" s="1">
        <v>12</v>
      </c>
      <c r="B368" s="2" t="s">
        <v>365</v>
      </c>
      <c r="C368" s="3">
        <v>715</v>
      </c>
      <c r="D368" s="3">
        <v>2</v>
      </c>
      <c r="E368" s="3">
        <v>7</v>
      </c>
      <c r="F368" s="3">
        <f t="shared" si="32"/>
        <v>706</v>
      </c>
      <c r="G368" s="3">
        <v>594</v>
      </c>
      <c r="H368" s="3">
        <v>0</v>
      </c>
      <c r="I368" s="21">
        <f t="shared" si="35"/>
        <v>0</v>
      </c>
      <c r="J368" s="17">
        <f>F368-G368</f>
        <v>112</v>
      </c>
    </row>
    <row r="369" spans="1:10" ht="13.5">
      <c r="A369" s="1">
        <v>13</v>
      </c>
      <c r="B369" s="2" t="s">
        <v>366</v>
      </c>
      <c r="C369" s="3">
        <v>387</v>
      </c>
      <c r="D369" s="3">
        <v>1</v>
      </c>
      <c r="E369" s="3">
        <v>4</v>
      </c>
      <c r="F369" s="3">
        <f t="shared" si="32"/>
        <v>382</v>
      </c>
      <c r="G369" s="3">
        <v>580</v>
      </c>
      <c r="H369" s="3">
        <f t="shared" si="30"/>
        <v>-198</v>
      </c>
      <c r="I369" s="21">
        <f t="shared" si="35"/>
        <v>58.02302158273381</v>
      </c>
      <c r="J369" s="17"/>
    </row>
    <row r="370" spans="1:10" ht="13.5">
      <c r="A370" s="1">
        <v>14</v>
      </c>
      <c r="B370" s="2" t="s">
        <v>367</v>
      </c>
      <c r="C370" s="3">
        <v>464</v>
      </c>
      <c r="D370" s="3">
        <v>2</v>
      </c>
      <c r="E370" s="3">
        <v>12</v>
      </c>
      <c r="F370" s="3">
        <f t="shared" si="32"/>
        <v>450</v>
      </c>
      <c r="G370" s="3">
        <v>505</v>
      </c>
      <c r="H370" s="3">
        <f t="shared" si="30"/>
        <v>-55</v>
      </c>
      <c r="I370" s="21">
        <f t="shared" si="35"/>
        <v>16.117505995203835</v>
      </c>
      <c r="J370" s="17"/>
    </row>
    <row r="371" spans="1:10" ht="13.5">
      <c r="A371" s="1">
        <v>15</v>
      </c>
      <c r="B371" s="2" t="s">
        <v>368</v>
      </c>
      <c r="C371" s="3">
        <v>555</v>
      </c>
      <c r="D371" s="3">
        <v>3</v>
      </c>
      <c r="E371" s="3">
        <v>9</v>
      </c>
      <c r="F371" s="3">
        <f t="shared" si="32"/>
        <v>543</v>
      </c>
      <c r="G371" s="3">
        <v>652</v>
      </c>
      <c r="H371" s="3">
        <f t="shared" si="30"/>
        <v>-109</v>
      </c>
      <c r="I371" s="21">
        <f t="shared" si="35"/>
        <v>31.941966426858514</v>
      </c>
      <c r="J371" s="17"/>
    </row>
    <row r="372" spans="1:10" ht="13.5">
      <c r="A372" s="1">
        <v>16</v>
      </c>
      <c r="B372" s="2" t="s">
        <v>369</v>
      </c>
      <c r="C372" s="3">
        <v>634</v>
      </c>
      <c r="D372" s="3">
        <v>2</v>
      </c>
      <c r="E372" s="3">
        <v>10</v>
      </c>
      <c r="F372" s="3">
        <f t="shared" si="32"/>
        <v>622</v>
      </c>
      <c r="G372" s="3">
        <v>552</v>
      </c>
      <c r="H372" s="3">
        <v>0</v>
      </c>
      <c r="I372" s="21">
        <f t="shared" si="35"/>
        <v>0</v>
      </c>
      <c r="J372" s="17">
        <f>F372-G372</f>
        <v>70</v>
      </c>
    </row>
    <row r="373" spans="1:10" ht="13.5">
      <c r="A373" s="1">
        <v>17</v>
      </c>
      <c r="B373" s="2" t="s">
        <v>370</v>
      </c>
      <c r="C373" s="3">
        <v>578</v>
      </c>
      <c r="D373" s="3">
        <v>4</v>
      </c>
      <c r="E373" s="3">
        <v>5</v>
      </c>
      <c r="F373" s="3">
        <f t="shared" si="32"/>
        <v>569</v>
      </c>
      <c r="G373" s="3">
        <v>992</v>
      </c>
      <c r="H373" s="3">
        <f t="shared" si="30"/>
        <v>-423</v>
      </c>
      <c r="I373" s="21">
        <f t="shared" si="35"/>
        <v>123.95827338129497</v>
      </c>
      <c r="J373" s="17"/>
    </row>
    <row r="374" spans="1:10" ht="13.5">
      <c r="A374" s="1">
        <v>18</v>
      </c>
      <c r="B374" s="2" t="s">
        <v>371</v>
      </c>
      <c r="C374" s="3">
        <v>1001</v>
      </c>
      <c r="D374" s="3">
        <v>4</v>
      </c>
      <c r="E374" s="3">
        <v>21</v>
      </c>
      <c r="F374" s="3">
        <f t="shared" si="32"/>
        <v>976</v>
      </c>
      <c r="G374" s="3">
        <v>517</v>
      </c>
      <c r="H374" s="3">
        <v>0</v>
      </c>
      <c r="I374" s="21">
        <f t="shared" si="35"/>
        <v>0</v>
      </c>
      <c r="J374" s="17">
        <f>F374-G374</f>
        <v>459</v>
      </c>
    </row>
    <row r="375" spans="1:10" ht="13.5">
      <c r="A375" s="1">
        <v>19</v>
      </c>
      <c r="B375" s="2" t="s">
        <v>372</v>
      </c>
      <c r="C375" s="3">
        <v>559</v>
      </c>
      <c r="D375" s="3">
        <v>3</v>
      </c>
      <c r="E375" s="3">
        <v>9</v>
      </c>
      <c r="F375" s="3">
        <f t="shared" si="32"/>
        <v>547</v>
      </c>
      <c r="G375" s="3">
        <v>968</v>
      </c>
      <c r="H375" s="3">
        <f t="shared" si="30"/>
        <v>-421</v>
      </c>
      <c r="I375" s="21">
        <f t="shared" si="35"/>
        <v>123.37218225419664</v>
      </c>
      <c r="J375" s="17"/>
    </row>
    <row r="376" spans="1:10" ht="13.5">
      <c r="A376" s="1">
        <v>20</v>
      </c>
      <c r="B376" s="2" t="s">
        <v>373</v>
      </c>
      <c r="C376" s="3">
        <v>262</v>
      </c>
      <c r="D376" s="3"/>
      <c r="E376" s="3">
        <v>1</v>
      </c>
      <c r="F376" s="3">
        <f t="shared" si="32"/>
        <v>261</v>
      </c>
      <c r="G376" s="3">
        <v>832</v>
      </c>
      <c r="H376" s="3">
        <f t="shared" si="30"/>
        <v>-571</v>
      </c>
      <c r="I376" s="21">
        <f t="shared" si="35"/>
        <v>167.32901678657075</v>
      </c>
      <c r="J376" s="17"/>
    </row>
    <row r="377" spans="1:10" ht="13.5">
      <c r="A377" s="1">
        <v>21</v>
      </c>
      <c r="B377" s="2" t="s">
        <v>374</v>
      </c>
      <c r="C377" s="3">
        <v>324</v>
      </c>
      <c r="D377" s="3">
        <v>1</v>
      </c>
      <c r="E377" s="3">
        <v>2</v>
      </c>
      <c r="F377" s="3">
        <f t="shared" si="32"/>
        <v>321</v>
      </c>
      <c r="G377" s="3">
        <v>358</v>
      </c>
      <c r="H377" s="3">
        <f t="shared" si="30"/>
        <v>-37</v>
      </c>
      <c r="I377" s="21">
        <f t="shared" si="35"/>
        <v>10.842685851318944</v>
      </c>
      <c r="J377" s="17"/>
    </row>
    <row r="378" spans="1:10" ht="13.5">
      <c r="A378" s="1">
        <v>22</v>
      </c>
      <c r="B378" s="2" t="s">
        <v>375</v>
      </c>
      <c r="C378" s="3">
        <v>531</v>
      </c>
      <c r="D378" s="3">
        <v>1</v>
      </c>
      <c r="E378" s="3">
        <v>3</v>
      </c>
      <c r="F378" s="3">
        <f t="shared" si="32"/>
        <v>527</v>
      </c>
      <c r="G378" s="3">
        <v>198</v>
      </c>
      <c r="H378" s="3">
        <v>0</v>
      </c>
      <c r="I378" s="21">
        <f t="shared" si="35"/>
        <v>0</v>
      </c>
      <c r="J378" s="17">
        <f>F378-G378</f>
        <v>329</v>
      </c>
    </row>
    <row r="379" spans="1:10" ht="13.5">
      <c r="A379" s="1">
        <v>23</v>
      </c>
      <c r="B379" s="2" t="s">
        <v>376</v>
      </c>
      <c r="C379" s="3">
        <v>124</v>
      </c>
      <c r="D379" s="3"/>
      <c r="E379" s="3">
        <v>3</v>
      </c>
      <c r="F379" s="3">
        <f t="shared" si="32"/>
        <v>121</v>
      </c>
      <c r="G379" s="3">
        <v>121</v>
      </c>
      <c r="H379" s="3">
        <f t="shared" si="30"/>
        <v>0</v>
      </c>
      <c r="I379" s="21">
        <f t="shared" si="35"/>
        <v>0</v>
      </c>
      <c r="J379" s="17"/>
    </row>
    <row r="380" spans="1:10" ht="13.5">
      <c r="A380" s="1">
        <v>24</v>
      </c>
      <c r="B380" s="2" t="s">
        <v>377</v>
      </c>
      <c r="C380" s="3">
        <v>1</v>
      </c>
      <c r="D380" s="3"/>
      <c r="E380" s="3"/>
      <c r="F380" s="3">
        <f t="shared" si="32"/>
        <v>1</v>
      </c>
      <c r="G380" s="3">
        <v>1</v>
      </c>
      <c r="H380" s="3">
        <f t="shared" si="30"/>
        <v>0</v>
      </c>
      <c r="I380" s="21">
        <f t="shared" si="35"/>
        <v>0</v>
      </c>
      <c r="J380" s="17"/>
    </row>
    <row r="381" spans="1:10" ht="13.5">
      <c r="A381" s="1">
        <v>25</v>
      </c>
      <c r="B381" s="2" t="s">
        <v>378</v>
      </c>
      <c r="C381" s="3"/>
      <c r="D381" s="3"/>
      <c r="E381" s="3"/>
      <c r="F381" s="3">
        <f t="shared" si="32"/>
        <v>0</v>
      </c>
      <c r="G381" s="3"/>
      <c r="H381" s="3">
        <f t="shared" si="30"/>
        <v>0</v>
      </c>
      <c r="I381" s="21">
        <f t="shared" si="35"/>
        <v>0</v>
      </c>
      <c r="J381" s="17"/>
    </row>
    <row r="382" spans="1:10" ht="13.5">
      <c r="A382" s="1">
        <v>26</v>
      </c>
      <c r="B382" s="2" t="s">
        <v>379</v>
      </c>
      <c r="C382" s="3">
        <v>1901</v>
      </c>
      <c r="D382" s="3">
        <v>7</v>
      </c>
      <c r="E382" s="3">
        <v>28</v>
      </c>
      <c r="F382" s="3">
        <f t="shared" si="32"/>
        <v>1866</v>
      </c>
      <c r="G382" s="3">
        <v>1521</v>
      </c>
      <c r="H382" s="3">
        <v>0</v>
      </c>
      <c r="I382" s="21">
        <f t="shared" si="35"/>
        <v>0</v>
      </c>
      <c r="J382" s="17">
        <f>F382-G382</f>
        <v>345</v>
      </c>
    </row>
    <row r="383" spans="1:10" ht="13.5">
      <c r="A383" s="1">
        <v>27</v>
      </c>
      <c r="B383" s="2" t="s">
        <v>380</v>
      </c>
      <c r="C383" s="3">
        <v>380</v>
      </c>
      <c r="D383" s="3">
        <v>2</v>
      </c>
      <c r="E383" s="3">
        <v>10</v>
      </c>
      <c r="F383" s="3">
        <f t="shared" si="32"/>
        <v>368</v>
      </c>
      <c r="G383" s="3">
        <v>306</v>
      </c>
      <c r="H383" s="3">
        <v>0</v>
      </c>
      <c r="I383" s="21">
        <f t="shared" si="35"/>
        <v>0</v>
      </c>
      <c r="J383" s="17">
        <f>F383-G383</f>
        <v>62</v>
      </c>
    </row>
    <row r="384" spans="1:10" ht="13.5">
      <c r="A384" s="1">
        <v>28</v>
      </c>
      <c r="B384" s="2" t="s">
        <v>381</v>
      </c>
      <c r="C384" s="3">
        <v>329</v>
      </c>
      <c r="D384" s="3">
        <v>1</v>
      </c>
      <c r="E384" s="3">
        <v>7</v>
      </c>
      <c r="F384" s="3">
        <f t="shared" si="32"/>
        <v>321</v>
      </c>
      <c r="G384" s="3">
        <v>321</v>
      </c>
      <c r="H384" s="3">
        <f t="shared" si="30"/>
        <v>0</v>
      </c>
      <c r="I384" s="21">
        <f t="shared" si="35"/>
        <v>0</v>
      </c>
      <c r="J384" s="17"/>
    </row>
    <row r="385" spans="1:10" ht="13.5">
      <c r="A385" s="14" t="s">
        <v>474</v>
      </c>
      <c r="B385" s="15" t="s">
        <v>382</v>
      </c>
      <c r="C385" s="16">
        <f>SUM(C386:C391)</f>
        <v>4554</v>
      </c>
      <c r="D385" s="16">
        <f>SUM(D386:D391)</f>
        <v>8</v>
      </c>
      <c r="E385" s="16">
        <f>SUM(E386:E391)</f>
        <v>19</v>
      </c>
      <c r="F385" s="16">
        <f t="shared" si="32"/>
        <v>4527</v>
      </c>
      <c r="G385" s="16">
        <f>SUM(G386:G391)</f>
        <v>5132</v>
      </c>
      <c r="H385" s="16">
        <f>SUM(H386:H391)</f>
        <v>-848</v>
      </c>
      <c r="I385" s="23">
        <f>H385/-45579*13363</f>
        <v>248.6194080607297</v>
      </c>
      <c r="J385" s="17"/>
    </row>
    <row r="386" spans="1:10" ht="13.5">
      <c r="A386" s="1">
        <v>1</v>
      </c>
      <c r="B386" s="2" t="s">
        <v>383</v>
      </c>
      <c r="C386" s="3">
        <v>1038</v>
      </c>
      <c r="D386" s="3"/>
      <c r="E386" s="3">
        <v>3</v>
      </c>
      <c r="F386" s="3">
        <f t="shared" si="32"/>
        <v>1035</v>
      </c>
      <c r="G386" s="3">
        <v>1165</v>
      </c>
      <c r="H386" s="3">
        <f t="shared" si="30"/>
        <v>-130</v>
      </c>
      <c r="I386" s="21">
        <f aca="true" t="shared" si="36" ref="I386:I391">H386/848*-249</f>
        <v>38.17216981132076</v>
      </c>
      <c r="J386" s="17"/>
    </row>
    <row r="387" spans="1:10" ht="13.5">
      <c r="A387" s="1">
        <v>2</v>
      </c>
      <c r="B387" s="2" t="s">
        <v>384</v>
      </c>
      <c r="C387" s="3">
        <v>796</v>
      </c>
      <c r="D387" s="3">
        <v>2</v>
      </c>
      <c r="E387" s="3">
        <v>4</v>
      </c>
      <c r="F387" s="3">
        <f t="shared" si="32"/>
        <v>790</v>
      </c>
      <c r="G387" s="3">
        <v>796</v>
      </c>
      <c r="H387" s="3">
        <f t="shared" si="30"/>
        <v>-6</v>
      </c>
      <c r="I387" s="21">
        <f t="shared" si="36"/>
        <v>1.7617924528301887</v>
      </c>
      <c r="J387" s="17"/>
    </row>
    <row r="388" spans="1:10" ht="13.5">
      <c r="A388" s="1">
        <v>3</v>
      </c>
      <c r="B388" s="2" t="s">
        <v>385</v>
      </c>
      <c r="C388" s="3">
        <v>1045</v>
      </c>
      <c r="D388" s="3">
        <v>3</v>
      </c>
      <c r="E388" s="3">
        <v>4</v>
      </c>
      <c r="F388" s="3">
        <f t="shared" si="32"/>
        <v>1038</v>
      </c>
      <c r="G388" s="3">
        <v>1750</v>
      </c>
      <c r="H388" s="3">
        <f t="shared" si="30"/>
        <v>-712</v>
      </c>
      <c r="I388" s="21">
        <f t="shared" si="36"/>
        <v>209.06603773584908</v>
      </c>
      <c r="J388" s="17"/>
    </row>
    <row r="389" spans="1:10" ht="13.5">
      <c r="A389" s="1">
        <v>4</v>
      </c>
      <c r="B389" s="2" t="s">
        <v>386</v>
      </c>
      <c r="C389" s="3">
        <v>575</v>
      </c>
      <c r="D389" s="3"/>
      <c r="E389" s="3">
        <v>3</v>
      </c>
      <c r="F389" s="3">
        <f t="shared" si="32"/>
        <v>572</v>
      </c>
      <c r="G389" s="3">
        <v>423</v>
      </c>
      <c r="H389" s="3">
        <v>0</v>
      </c>
      <c r="I389" s="21">
        <f t="shared" si="36"/>
        <v>0</v>
      </c>
      <c r="J389" s="17">
        <f>F389-G389</f>
        <v>149</v>
      </c>
    </row>
    <row r="390" spans="1:10" ht="13.5">
      <c r="A390" s="1">
        <v>5</v>
      </c>
      <c r="B390" s="2" t="s">
        <v>387</v>
      </c>
      <c r="C390" s="3">
        <v>643</v>
      </c>
      <c r="D390" s="3"/>
      <c r="E390" s="3">
        <v>3</v>
      </c>
      <c r="F390" s="3">
        <f t="shared" si="32"/>
        <v>640</v>
      </c>
      <c r="G390" s="3">
        <v>546</v>
      </c>
      <c r="H390" s="3">
        <v>0</v>
      </c>
      <c r="I390" s="21">
        <f t="shared" si="36"/>
        <v>0</v>
      </c>
      <c r="J390" s="17">
        <f>F390-G390</f>
        <v>94</v>
      </c>
    </row>
    <row r="391" spans="1:10" ht="13.5">
      <c r="A391" s="1">
        <v>6</v>
      </c>
      <c r="B391" s="2" t="s">
        <v>388</v>
      </c>
      <c r="C391" s="3">
        <v>457</v>
      </c>
      <c r="D391" s="3">
        <v>3</v>
      </c>
      <c r="E391" s="3">
        <v>2</v>
      </c>
      <c r="F391" s="3">
        <f t="shared" si="32"/>
        <v>452</v>
      </c>
      <c r="G391" s="3">
        <v>452</v>
      </c>
      <c r="H391" s="3">
        <f t="shared" si="30"/>
        <v>0</v>
      </c>
      <c r="I391" s="21">
        <f t="shared" si="36"/>
        <v>0</v>
      </c>
      <c r="J391" s="17">
        <f>F391-G391</f>
        <v>0</v>
      </c>
    </row>
    <row r="392" spans="1:10" ht="13.5">
      <c r="A392" s="14" t="s">
        <v>475</v>
      </c>
      <c r="B392" s="15" t="s">
        <v>389</v>
      </c>
      <c r="C392" s="16">
        <f>SUM(C393:C397)</f>
        <v>1890</v>
      </c>
      <c r="D392" s="16">
        <f>SUM(D393:D397)</f>
        <v>9</v>
      </c>
      <c r="E392" s="16">
        <f>SUM(E393:E397)</f>
        <v>17</v>
      </c>
      <c r="F392" s="16">
        <f t="shared" si="32"/>
        <v>1864</v>
      </c>
      <c r="G392" s="16">
        <f>SUM(G393:G397)</f>
        <v>2690</v>
      </c>
      <c r="H392" s="16">
        <f>SUM(H393:H397)</f>
        <v>-826</v>
      </c>
      <c r="I392" s="23">
        <f>H392/-45579*13363</f>
        <v>242.16937624783344</v>
      </c>
      <c r="J392" s="17"/>
    </row>
    <row r="393" spans="1:10" ht="13.5">
      <c r="A393" s="1">
        <v>1</v>
      </c>
      <c r="B393" s="2" t="s">
        <v>390</v>
      </c>
      <c r="C393" s="3">
        <v>153</v>
      </c>
      <c r="D393" s="3">
        <v>1</v>
      </c>
      <c r="E393" s="3"/>
      <c r="F393" s="3">
        <f t="shared" si="32"/>
        <v>152</v>
      </c>
      <c r="G393" s="3">
        <v>183</v>
      </c>
      <c r="H393" s="3">
        <f aca="true" t="shared" si="37" ref="H393:H441">F393-G393</f>
        <v>-31</v>
      </c>
      <c r="I393" s="21">
        <f>H393/826*-242</f>
        <v>9.082324455205812</v>
      </c>
      <c r="J393" s="17"/>
    </row>
    <row r="394" spans="1:10" ht="13.5">
      <c r="A394" s="1">
        <v>2</v>
      </c>
      <c r="B394" s="2" t="s">
        <v>391</v>
      </c>
      <c r="C394" s="3">
        <v>843</v>
      </c>
      <c r="D394" s="3">
        <v>2</v>
      </c>
      <c r="E394" s="3">
        <v>4</v>
      </c>
      <c r="F394" s="3">
        <f t="shared" si="32"/>
        <v>837</v>
      </c>
      <c r="G394" s="3">
        <v>1386</v>
      </c>
      <c r="H394" s="3">
        <f t="shared" si="37"/>
        <v>-549</v>
      </c>
      <c r="I394" s="21">
        <f>H394/826*-242</f>
        <v>160.8450363196126</v>
      </c>
      <c r="J394" s="17"/>
    </row>
    <row r="395" spans="1:10" ht="13.5">
      <c r="A395" s="1">
        <v>3</v>
      </c>
      <c r="B395" s="2" t="s">
        <v>392</v>
      </c>
      <c r="C395" s="3">
        <v>116</v>
      </c>
      <c r="D395" s="3"/>
      <c r="E395" s="3">
        <v>1</v>
      </c>
      <c r="F395" s="3">
        <f aca="true" t="shared" si="38" ref="F395:F441">C395-E395-D395</f>
        <v>115</v>
      </c>
      <c r="G395" s="3">
        <v>115</v>
      </c>
      <c r="H395" s="3">
        <f t="shared" si="37"/>
        <v>0</v>
      </c>
      <c r="I395" s="21">
        <f>H395/826*-242</f>
        <v>0</v>
      </c>
      <c r="J395" s="17"/>
    </row>
    <row r="396" spans="1:10" ht="13.5">
      <c r="A396" s="1">
        <v>4</v>
      </c>
      <c r="B396" s="2" t="s">
        <v>393</v>
      </c>
      <c r="C396" s="3">
        <v>273</v>
      </c>
      <c r="D396" s="3">
        <v>2</v>
      </c>
      <c r="E396" s="3">
        <v>5</v>
      </c>
      <c r="F396" s="3">
        <f t="shared" si="38"/>
        <v>266</v>
      </c>
      <c r="G396" s="3">
        <v>266</v>
      </c>
      <c r="H396" s="3">
        <f t="shared" si="37"/>
        <v>0</v>
      </c>
      <c r="I396" s="21">
        <f>H396/826*-242</f>
        <v>0</v>
      </c>
      <c r="J396" s="17"/>
    </row>
    <row r="397" spans="1:10" ht="13.5">
      <c r="A397" s="1">
        <v>5</v>
      </c>
      <c r="B397" s="2" t="s">
        <v>394</v>
      </c>
      <c r="C397" s="3">
        <v>505</v>
      </c>
      <c r="D397" s="3">
        <v>4</v>
      </c>
      <c r="E397" s="3">
        <v>7</v>
      </c>
      <c r="F397" s="3">
        <f t="shared" si="38"/>
        <v>494</v>
      </c>
      <c r="G397" s="3">
        <v>740</v>
      </c>
      <c r="H397" s="3">
        <f t="shared" si="37"/>
        <v>-246</v>
      </c>
      <c r="I397" s="21">
        <f>H397/826*-242</f>
        <v>72.0726392251816</v>
      </c>
      <c r="J397" s="17"/>
    </row>
    <row r="398" spans="1:10" ht="13.5">
      <c r="A398" s="14" t="s">
        <v>476</v>
      </c>
      <c r="B398" s="15" t="s">
        <v>395</v>
      </c>
      <c r="C398" s="16">
        <f>SUM(C399:C403)</f>
        <v>3977</v>
      </c>
      <c r="D398" s="16">
        <f>SUM(D399:D403)</f>
        <v>11</v>
      </c>
      <c r="E398" s="16">
        <f>SUM(E399:E403)</f>
        <v>23</v>
      </c>
      <c r="F398" s="16">
        <f t="shared" si="38"/>
        <v>3943</v>
      </c>
      <c r="G398" s="16">
        <f>SUM(G399:G403)</f>
        <v>3439</v>
      </c>
      <c r="H398" s="16">
        <f>SUM(H399:H403)</f>
        <v>-611</v>
      </c>
      <c r="I398" s="23">
        <f>H398/-45579*13363</f>
        <v>179.13497443998332</v>
      </c>
      <c r="J398" s="17"/>
    </row>
    <row r="399" spans="1:10" ht="13.5">
      <c r="A399" s="1">
        <v>1</v>
      </c>
      <c r="B399" s="2" t="s">
        <v>396</v>
      </c>
      <c r="C399" s="3">
        <v>456</v>
      </c>
      <c r="D399" s="3">
        <v>1</v>
      </c>
      <c r="E399" s="3">
        <v>3</v>
      </c>
      <c r="F399" s="3">
        <f t="shared" si="38"/>
        <v>452</v>
      </c>
      <c r="G399" s="3">
        <v>86</v>
      </c>
      <c r="H399" s="3">
        <v>0</v>
      </c>
      <c r="I399" s="21">
        <f>H399/-611*179</f>
        <v>0</v>
      </c>
      <c r="J399" s="17">
        <f>F399-G399</f>
        <v>366</v>
      </c>
    </row>
    <row r="400" spans="1:10" ht="13.5">
      <c r="A400" s="1">
        <v>2</v>
      </c>
      <c r="B400" s="2" t="s">
        <v>397</v>
      </c>
      <c r="C400" s="3">
        <v>1413</v>
      </c>
      <c r="D400" s="3">
        <v>5</v>
      </c>
      <c r="E400" s="3">
        <v>10</v>
      </c>
      <c r="F400" s="3">
        <f t="shared" si="38"/>
        <v>1398</v>
      </c>
      <c r="G400" s="3">
        <v>1546</v>
      </c>
      <c r="H400" s="3">
        <f t="shared" si="37"/>
        <v>-148</v>
      </c>
      <c r="I400" s="21">
        <f>H400/-611*179</f>
        <v>43.35842880523732</v>
      </c>
      <c r="J400" s="17"/>
    </row>
    <row r="401" spans="1:10" ht="13.5">
      <c r="A401" s="1">
        <v>3</v>
      </c>
      <c r="B401" s="2" t="s">
        <v>398</v>
      </c>
      <c r="C401" s="3">
        <v>165</v>
      </c>
      <c r="D401" s="3">
        <v>1</v>
      </c>
      <c r="E401" s="3">
        <v>1</v>
      </c>
      <c r="F401" s="3">
        <f t="shared" si="38"/>
        <v>163</v>
      </c>
      <c r="G401" s="3">
        <v>626</v>
      </c>
      <c r="H401" s="3">
        <f t="shared" si="37"/>
        <v>-463</v>
      </c>
      <c r="I401" s="21">
        <f>H401/-611*179</f>
        <v>135.6415711947627</v>
      </c>
      <c r="J401" s="17"/>
    </row>
    <row r="402" spans="1:10" ht="13.5">
      <c r="A402" s="1">
        <v>4</v>
      </c>
      <c r="B402" s="2" t="s">
        <v>399</v>
      </c>
      <c r="C402" s="3">
        <v>652</v>
      </c>
      <c r="D402" s="3"/>
      <c r="E402" s="3">
        <v>3</v>
      </c>
      <c r="F402" s="3">
        <f t="shared" si="38"/>
        <v>649</v>
      </c>
      <c r="G402" s="3">
        <v>248</v>
      </c>
      <c r="H402" s="3">
        <v>0</v>
      </c>
      <c r="I402" s="21">
        <f>H402/-611*179</f>
        <v>0</v>
      </c>
      <c r="J402" s="17">
        <f>F402-G402</f>
        <v>401</v>
      </c>
    </row>
    <row r="403" spans="1:10" ht="13.5">
      <c r="A403" s="1">
        <v>5</v>
      </c>
      <c r="B403" s="2" t="s">
        <v>400</v>
      </c>
      <c r="C403" s="3">
        <v>1291</v>
      </c>
      <c r="D403" s="3">
        <v>4</v>
      </c>
      <c r="E403" s="3">
        <v>6</v>
      </c>
      <c r="F403" s="3">
        <f t="shared" si="38"/>
        <v>1281</v>
      </c>
      <c r="G403" s="3">
        <v>933</v>
      </c>
      <c r="H403" s="3">
        <v>0</v>
      </c>
      <c r="I403" s="21">
        <f>H403/-611*179</f>
        <v>0</v>
      </c>
      <c r="J403" s="17">
        <f>F403-G403</f>
        <v>348</v>
      </c>
    </row>
    <row r="404" spans="1:10" ht="13.5">
      <c r="A404" s="14" t="s">
        <v>477</v>
      </c>
      <c r="B404" s="15" t="s">
        <v>401</v>
      </c>
      <c r="C404" s="16">
        <f>SUM(C405:C432)</f>
        <v>3530</v>
      </c>
      <c r="D404" s="16">
        <f>SUM(D405:D432)</f>
        <v>11</v>
      </c>
      <c r="E404" s="16">
        <f>SUM(E405:E432)</f>
        <v>13</v>
      </c>
      <c r="F404" s="16">
        <f t="shared" si="38"/>
        <v>3506</v>
      </c>
      <c r="G404" s="16">
        <f>SUM(G405:G432)</f>
        <v>5026</v>
      </c>
      <c r="H404" s="16">
        <f>SUM(H405:H432)</f>
        <v>-1623</v>
      </c>
      <c r="I404" s="23">
        <f>H404/-45579*13363</f>
        <v>475.8364378332127</v>
      </c>
      <c r="J404" s="17"/>
    </row>
    <row r="405" spans="1:10" ht="13.5">
      <c r="A405" s="1">
        <v>1</v>
      </c>
      <c r="B405" s="2" t="s">
        <v>402</v>
      </c>
      <c r="C405" s="4">
        <v>370</v>
      </c>
      <c r="D405" s="4">
        <v>3</v>
      </c>
      <c r="E405" s="4"/>
      <c r="F405" s="4">
        <f t="shared" si="38"/>
        <v>367</v>
      </c>
      <c r="G405" s="18">
        <v>810</v>
      </c>
      <c r="H405" s="4">
        <f t="shared" si="37"/>
        <v>-443</v>
      </c>
      <c r="I405" s="21">
        <f>H405/1623*-476</f>
        <v>129.92483056069005</v>
      </c>
      <c r="J405" s="17"/>
    </row>
    <row r="406" spans="1:10" ht="13.5">
      <c r="A406" s="1">
        <v>2</v>
      </c>
      <c r="B406" s="2" t="s">
        <v>403</v>
      </c>
      <c r="C406" s="3">
        <v>128</v>
      </c>
      <c r="D406" s="3">
        <v>1</v>
      </c>
      <c r="E406" s="3"/>
      <c r="F406" s="3">
        <f t="shared" si="38"/>
        <v>127</v>
      </c>
      <c r="G406" s="18">
        <v>276</v>
      </c>
      <c r="H406" s="3">
        <f t="shared" si="37"/>
        <v>-149</v>
      </c>
      <c r="I406" s="21">
        <f aca="true" t="shared" si="39" ref="I406:I432">H406/1623*-476</f>
        <v>43.699322242760324</v>
      </c>
      <c r="J406" s="17"/>
    </row>
    <row r="407" spans="1:10" ht="13.5">
      <c r="A407" s="1">
        <v>3</v>
      </c>
      <c r="B407" s="2" t="s">
        <v>404</v>
      </c>
      <c r="C407" s="3">
        <v>326</v>
      </c>
      <c r="D407" s="3"/>
      <c r="E407" s="3">
        <v>1</v>
      </c>
      <c r="F407" s="3">
        <f t="shared" si="38"/>
        <v>325</v>
      </c>
      <c r="G407" s="18">
        <v>510</v>
      </c>
      <c r="H407" s="3">
        <f t="shared" si="37"/>
        <v>-185</v>
      </c>
      <c r="I407" s="21">
        <f t="shared" si="39"/>
        <v>54.25754775107825</v>
      </c>
      <c r="J407" s="17"/>
    </row>
    <row r="408" spans="1:10" ht="13.5">
      <c r="A408" s="1">
        <v>4</v>
      </c>
      <c r="B408" s="2" t="s">
        <v>405</v>
      </c>
      <c r="C408" s="3">
        <v>200</v>
      </c>
      <c r="D408" s="3"/>
      <c r="E408" s="3">
        <v>1</v>
      </c>
      <c r="F408" s="3">
        <f t="shared" si="38"/>
        <v>199</v>
      </c>
      <c r="G408" s="18">
        <v>238</v>
      </c>
      <c r="H408" s="3">
        <f t="shared" si="37"/>
        <v>-39</v>
      </c>
      <c r="I408" s="21">
        <f t="shared" si="39"/>
        <v>11.43807763401109</v>
      </c>
      <c r="J408" s="17"/>
    </row>
    <row r="409" spans="1:10" ht="13.5">
      <c r="A409" s="1">
        <v>5</v>
      </c>
      <c r="B409" s="2" t="s">
        <v>406</v>
      </c>
      <c r="C409" s="3">
        <v>127</v>
      </c>
      <c r="D409" s="3"/>
      <c r="E409" s="3">
        <v>1</v>
      </c>
      <c r="F409" s="3">
        <f t="shared" si="38"/>
        <v>126</v>
      </c>
      <c r="G409" s="18">
        <v>160</v>
      </c>
      <c r="H409" s="3">
        <f t="shared" si="37"/>
        <v>-34</v>
      </c>
      <c r="I409" s="21">
        <f t="shared" si="39"/>
        <v>9.971657424522489</v>
      </c>
      <c r="J409" s="17"/>
    </row>
    <row r="410" spans="1:10" ht="13.5">
      <c r="A410" s="1">
        <v>6</v>
      </c>
      <c r="B410" s="2" t="s">
        <v>407</v>
      </c>
      <c r="C410" s="3">
        <v>246</v>
      </c>
      <c r="D410" s="3"/>
      <c r="E410" s="3">
        <v>1</v>
      </c>
      <c r="F410" s="3">
        <f t="shared" si="38"/>
        <v>245</v>
      </c>
      <c r="G410" s="18">
        <v>497</v>
      </c>
      <c r="H410" s="3">
        <f t="shared" si="37"/>
        <v>-252</v>
      </c>
      <c r="I410" s="21">
        <f t="shared" si="39"/>
        <v>73.90757855822551</v>
      </c>
      <c r="J410" s="17"/>
    </row>
    <row r="411" spans="1:10" ht="13.5">
      <c r="A411" s="1">
        <v>7</v>
      </c>
      <c r="B411" s="2" t="s">
        <v>408</v>
      </c>
      <c r="C411" s="3">
        <v>304</v>
      </c>
      <c r="D411" s="3">
        <v>1</v>
      </c>
      <c r="E411" s="3">
        <v>2</v>
      </c>
      <c r="F411" s="3">
        <f t="shared" si="38"/>
        <v>301</v>
      </c>
      <c r="G411" s="18">
        <v>375</v>
      </c>
      <c r="H411" s="3">
        <f t="shared" si="37"/>
        <v>-74</v>
      </c>
      <c r="I411" s="21">
        <f t="shared" si="39"/>
        <v>21.7030191004313</v>
      </c>
      <c r="J411" s="17"/>
    </row>
    <row r="412" spans="1:10" ht="13.5">
      <c r="A412" s="1">
        <v>8</v>
      </c>
      <c r="B412" s="2" t="s">
        <v>409</v>
      </c>
      <c r="C412" s="3">
        <v>147</v>
      </c>
      <c r="D412" s="3"/>
      <c r="E412" s="3"/>
      <c r="F412" s="3">
        <f t="shared" si="38"/>
        <v>147</v>
      </c>
      <c r="G412" s="18">
        <v>191</v>
      </c>
      <c r="H412" s="3">
        <f t="shared" si="37"/>
        <v>-44</v>
      </c>
      <c r="I412" s="21">
        <f t="shared" si="39"/>
        <v>12.904497843499692</v>
      </c>
      <c r="J412" s="17"/>
    </row>
    <row r="413" spans="1:10" ht="13.5">
      <c r="A413" s="1">
        <v>9</v>
      </c>
      <c r="B413" s="2" t="s">
        <v>410</v>
      </c>
      <c r="C413" s="3">
        <v>294</v>
      </c>
      <c r="D413" s="3"/>
      <c r="E413" s="3">
        <v>2</v>
      </c>
      <c r="F413" s="3">
        <f t="shared" si="38"/>
        <v>292</v>
      </c>
      <c r="G413" s="18">
        <v>244</v>
      </c>
      <c r="H413" s="3">
        <v>0</v>
      </c>
      <c r="I413" s="21">
        <f t="shared" si="39"/>
        <v>0</v>
      </c>
      <c r="J413" s="17">
        <f>F413-G413</f>
        <v>48</v>
      </c>
    </row>
    <row r="414" spans="1:10" ht="13.5">
      <c r="A414" s="1">
        <v>10</v>
      </c>
      <c r="B414" s="2" t="s">
        <v>411</v>
      </c>
      <c r="C414" s="3">
        <v>31</v>
      </c>
      <c r="D414" s="3"/>
      <c r="E414" s="3"/>
      <c r="F414" s="3">
        <f t="shared" si="38"/>
        <v>31</v>
      </c>
      <c r="G414" s="18">
        <v>386</v>
      </c>
      <c r="H414" s="3">
        <f t="shared" si="37"/>
        <v>-355</v>
      </c>
      <c r="I414" s="21">
        <f t="shared" si="39"/>
        <v>104.1158348736907</v>
      </c>
      <c r="J414" s="17"/>
    </row>
    <row r="415" spans="1:10" ht="13.5">
      <c r="A415" s="1">
        <v>11</v>
      </c>
      <c r="B415" s="2" t="s">
        <v>412</v>
      </c>
      <c r="C415" s="3">
        <v>16</v>
      </c>
      <c r="D415" s="3"/>
      <c r="E415" s="3"/>
      <c r="F415" s="3">
        <f t="shared" si="38"/>
        <v>16</v>
      </c>
      <c r="G415" s="18">
        <v>28</v>
      </c>
      <c r="H415" s="3">
        <f t="shared" si="37"/>
        <v>-12</v>
      </c>
      <c r="I415" s="21">
        <f t="shared" si="39"/>
        <v>3.5194085027726434</v>
      </c>
      <c r="J415" s="17"/>
    </row>
    <row r="416" spans="1:10" ht="13.5">
      <c r="A416" s="1">
        <v>12</v>
      </c>
      <c r="B416" s="2" t="s">
        <v>413</v>
      </c>
      <c r="C416" s="3">
        <v>72</v>
      </c>
      <c r="D416" s="3">
        <v>1</v>
      </c>
      <c r="E416" s="3"/>
      <c r="F416" s="3">
        <f t="shared" si="38"/>
        <v>71</v>
      </c>
      <c r="G416" s="18">
        <v>107</v>
      </c>
      <c r="H416" s="3">
        <f t="shared" si="37"/>
        <v>-36</v>
      </c>
      <c r="I416" s="21">
        <f t="shared" si="39"/>
        <v>10.55822550831793</v>
      </c>
      <c r="J416" s="17"/>
    </row>
    <row r="417" spans="1:10" ht="13.5">
      <c r="A417" s="1">
        <v>13</v>
      </c>
      <c r="B417" s="2" t="s">
        <v>414</v>
      </c>
      <c r="C417" s="3">
        <v>28</v>
      </c>
      <c r="D417" s="3"/>
      <c r="E417" s="3"/>
      <c r="F417" s="3">
        <f t="shared" si="38"/>
        <v>28</v>
      </c>
      <c r="G417" s="3">
        <v>28</v>
      </c>
      <c r="H417" s="3">
        <f t="shared" si="37"/>
        <v>0</v>
      </c>
      <c r="I417" s="21">
        <f t="shared" si="39"/>
        <v>0</v>
      </c>
      <c r="J417" s="17"/>
    </row>
    <row r="418" spans="1:10" ht="13.5">
      <c r="A418" s="1">
        <v>14</v>
      </c>
      <c r="B418" s="2" t="s">
        <v>415</v>
      </c>
      <c r="C418" s="3">
        <v>34</v>
      </c>
      <c r="D418" s="3"/>
      <c r="E418" s="3"/>
      <c r="F418" s="3">
        <f t="shared" si="38"/>
        <v>34</v>
      </c>
      <c r="G418" s="3">
        <v>34</v>
      </c>
      <c r="H418" s="3">
        <f t="shared" si="37"/>
        <v>0</v>
      </c>
      <c r="I418" s="21">
        <f t="shared" si="39"/>
        <v>0</v>
      </c>
      <c r="J418" s="17"/>
    </row>
    <row r="419" spans="1:10" ht="13.5">
      <c r="A419" s="1">
        <v>15</v>
      </c>
      <c r="B419" s="2" t="s">
        <v>416</v>
      </c>
      <c r="C419" s="3">
        <v>22</v>
      </c>
      <c r="D419" s="3">
        <v>1</v>
      </c>
      <c r="E419" s="3"/>
      <c r="F419" s="3">
        <f t="shared" si="38"/>
        <v>21</v>
      </c>
      <c r="G419" s="3">
        <v>21</v>
      </c>
      <c r="H419" s="3">
        <f t="shared" si="37"/>
        <v>0</v>
      </c>
      <c r="I419" s="21">
        <f t="shared" si="39"/>
        <v>0</v>
      </c>
      <c r="J419" s="17"/>
    </row>
    <row r="420" spans="1:10" ht="13.5">
      <c r="A420" s="1">
        <v>16</v>
      </c>
      <c r="B420" s="2" t="s">
        <v>417</v>
      </c>
      <c r="C420" s="3">
        <v>3</v>
      </c>
      <c r="D420" s="3"/>
      <c r="E420" s="3"/>
      <c r="F420" s="3">
        <f t="shared" si="38"/>
        <v>3</v>
      </c>
      <c r="G420" s="3">
        <v>3</v>
      </c>
      <c r="H420" s="3">
        <f t="shared" si="37"/>
        <v>0</v>
      </c>
      <c r="I420" s="21">
        <f t="shared" si="39"/>
        <v>0</v>
      </c>
      <c r="J420" s="17"/>
    </row>
    <row r="421" spans="1:10" ht="13.5">
      <c r="A421" s="1">
        <v>17</v>
      </c>
      <c r="B421" s="2" t="s">
        <v>418</v>
      </c>
      <c r="C421" s="3">
        <v>10</v>
      </c>
      <c r="D421" s="3"/>
      <c r="E421" s="3"/>
      <c r="F421" s="3">
        <f t="shared" si="38"/>
        <v>10</v>
      </c>
      <c r="G421" s="3">
        <v>10</v>
      </c>
      <c r="H421" s="3">
        <f t="shared" si="37"/>
        <v>0</v>
      </c>
      <c r="I421" s="21">
        <f t="shared" si="39"/>
        <v>0</v>
      </c>
      <c r="J421" s="17"/>
    </row>
    <row r="422" spans="1:10" ht="13.5">
      <c r="A422" s="1">
        <v>18</v>
      </c>
      <c r="B422" s="2" t="s">
        <v>419</v>
      </c>
      <c r="C422" s="3">
        <v>7</v>
      </c>
      <c r="D422" s="3"/>
      <c r="E422" s="3"/>
      <c r="F422" s="3">
        <f t="shared" si="38"/>
        <v>7</v>
      </c>
      <c r="G422" s="3">
        <v>7</v>
      </c>
      <c r="H422" s="3">
        <f t="shared" si="37"/>
        <v>0</v>
      </c>
      <c r="I422" s="21">
        <f t="shared" si="39"/>
        <v>0</v>
      </c>
      <c r="J422" s="17"/>
    </row>
    <row r="423" spans="1:10" ht="13.5">
      <c r="A423" s="1">
        <v>19</v>
      </c>
      <c r="B423" s="2" t="s">
        <v>420</v>
      </c>
      <c r="C423" s="3">
        <v>40</v>
      </c>
      <c r="D423" s="3"/>
      <c r="E423" s="3"/>
      <c r="F423" s="3">
        <f t="shared" si="38"/>
        <v>40</v>
      </c>
      <c r="G423" s="3">
        <v>40</v>
      </c>
      <c r="H423" s="3">
        <f t="shared" si="37"/>
        <v>0</v>
      </c>
      <c r="I423" s="21">
        <f t="shared" si="39"/>
        <v>0</v>
      </c>
      <c r="J423" s="17"/>
    </row>
    <row r="424" spans="1:10" ht="13.5">
      <c r="A424" s="1">
        <v>20</v>
      </c>
      <c r="B424" s="2" t="s">
        <v>421</v>
      </c>
      <c r="C424" s="3">
        <v>126</v>
      </c>
      <c r="D424" s="3"/>
      <c r="E424" s="3"/>
      <c r="F424" s="3">
        <f t="shared" si="38"/>
        <v>126</v>
      </c>
      <c r="G424" s="3">
        <v>126</v>
      </c>
      <c r="H424" s="3">
        <f t="shared" si="37"/>
        <v>0</v>
      </c>
      <c r="I424" s="21">
        <f t="shared" si="39"/>
        <v>0</v>
      </c>
      <c r="J424" s="17"/>
    </row>
    <row r="425" spans="1:10" ht="13.5">
      <c r="A425" s="1">
        <v>21</v>
      </c>
      <c r="B425" s="2" t="s">
        <v>422</v>
      </c>
      <c r="C425" s="3">
        <v>64</v>
      </c>
      <c r="D425" s="3"/>
      <c r="E425" s="3"/>
      <c r="F425" s="3">
        <f t="shared" si="38"/>
        <v>64</v>
      </c>
      <c r="G425" s="3">
        <v>64</v>
      </c>
      <c r="H425" s="3">
        <f t="shared" si="37"/>
        <v>0</v>
      </c>
      <c r="I425" s="21">
        <f t="shared" si="39"/>
        <v>0</v>
      </c>
      <c r="J425" s="17"/>
    </row>
    <row r="426" spans="1:10" ht="13.5">
      <c r="A426" s="1">
        <v>22</v>
      </c>
      <c r="B426" s="2" t="s">
        <v>423</v>
      </c>
      <c r="C426" s="3">
        <v>29</v>
      </c>
      <c r="D426" s="3"/>
      <c r="E426" s="3"/>
      <c r="F426" s="3">
        <f t="shared" si="38"/>
        <v>29</v>
      </c>
      <c r="G426" s="3">
        <v>29</v>
      </c>
      <c r="H426" s="3">
        <f t="shared" si="37"/>
        <v>0</v>
      </c>
      <c r="I426" s="21">
        <f t="shared" si="39"/>
        <v>0</v>
      </c>
      <c r="J426" s="17"/>
    </row>
    <row r="427" spans="1:10" ht="13.5">
      <c r="A427" s="1">
        <v>23</v>
      </c>
      <c r="B427" s="2" t="s">
        <v>424</v>
      </c>
      <c r="C427" s="3">
        <v>43</v>
      </c>
      <c r="D427" s="3"/>
      <c r="E427" s="3"/>
      <c r="F427" s="3">
        <f t="shared" si="38"/>
        <v>43</v>
      </c>
      <c r="G427" s="3">
        <v>43</v>
      </c>
      <c r="H427" s="3">
        <f t="shared" si="37"/>
        <v>0</v>
      </c>
      <c r="I427" s="21">
        <f t="shared" si="39"/>
        <v>0</v>
      </c>
      <c r="J427" s="17"/>
    </row>
    <row r="428" spans="1:10" ht="13.5">
      <c r="A428" s="1">
        <v>24</v>
      </c>
      <c r="B428" s="2" t="s">
        <v>425</v>
      </c>
      <c r="C428" s="3">
        <v>30</v>
      </c>
      <c r="D428" s="3"/>
      <c r="E428" s="3"/>
      <c r="F428" s="3">
        <f t="shared" si="38"/>
        <v>30</v>
      </c>
      <c r="G428" s="3">
        <v>30</v>
      </c>
      <c r="H428" s="3">
        <f t="shared" si="37"/>
        <v>0</v>
      </c>
      <c r="I428" s="21">
        <f t="shared" si="39"/>
        <v>0</v>
      </c>
      <c r="J428" s="17"/>
    </row>
    <row r="429" spans="1:10" ht="13.5">
      <c r="A429" s="1">
        <v>25</v>
      </c>
      <c r="B429" s="2" t="s">
        <v>426</v>
      </c>
      <c r="C429" s="3">
        <v>17</v>
      </c>
      <c r="D429" s="3"/>
      <c r="E429" s="3">
        <v>1</v>
      </c>
      <c r="F429" s="3">
        <f t="shared" si="38"/>
        <v>16</v>
      </c>
      <c r="G429" s="3">
        <v>16</v>
      </c>
      <c r="H429" s="3">
        <f t="shared" si="37"/>
        <v>0</v>
      </c>
      <c r="I429" s="21">
        <f t="shared" si="39"/>
        <v>0</v>
      </c>
      <c r="J429" s="17"/>
    </row>
    <row r="430" spans="1:10" ht="13.5">
      <c r="A430" s="1">
        <v>26</v>
      </c>
      <c r="B430" s="2" t="s">
        <v>427</v>
      </c>
      <c r="C430" s="3">
        <v>1</v>
      </c>
      <c r="D430" s="3"/>
      <c r="E430" s="3"/>
      <c r="F430" s="3">
        <f t="shared" si="38"/>
        <v>1</v>
      </c>
      <c r="G430" s="3">
        <v>1</v>
      </c>
      <c r="H430" s="3">
        <f t="shared" si="37"/>
        <v>0</v>
      </c>
      <c r="I430" s="21">
        <f t="shared" si="39"/>
        <v>0</v>
      </c>
      <c r="J430" s="17"/>
    </row>
    <row r="431" spans="1:10" ht="13.5">
      <c r="A431" s="1">
        <v>27</v>
      </c>
      <c r="B431" s="2" t="s">
        <v>428</v>
      </c>
      <c r="C431" s="3">
        <v>502</v>
      </c>
      <c r="D431" s="3">
        <v>3</v>
      </c>
      <c r="E431" s="3">
        <v>2</v>
      </c>
      <c r="F431" s="3">
        <f t="shared" si="38"/>
        <v>497</v>
      </c>
      <c r="G431" s="3">
        <v>482</v>
      </c>
      <c r="H431" s="3">
        <v>0</v>
      </c>
      <c r="I431" s="21">
        <f t="shared" si="39"/>
        <v>0</v>
      </c>
      <c r="J431" s="17">
        <f>F431-G431</f>
        <v>15</v>
      </c>
    </row>
    <row r="432" spans="1:10" ht="13.5">
      <c r="A432" s="1">
        <v>28</v>
      </c>
      <c r="B432" s="2" t="s">
        <v>429</v>
      </c>
      <c r="C432" s="3">
        <v>313</v>
      </c>
      <c r="D432" s="3">
        <v>1</v>
      </c>
      <c r="E432" s="3">
        <v>2</v>
      </c>
      <c r="F432" s="3">
        <f t="shared" si="38"/>
        <v>310</v>
      </c>
      <c r="G432" s="3">
        <v>270</v>
      </c>
      <c r="H432" s="3">
        <v>0</v>
      </c>
      <c r="I432" s="21">
        <f t="shared" si="39"/>
        <v>0</v>
      </c>
      <c r="J432" s="17">
        <f>F432-G432</f>
        <v>40</v>
      </c>
    </row>
    <row r="433" spans="1:10" ht="13.5">
      <c r="A433" s="14" t="s">
        <v>478</v>
      </c>
      <c r="B433" s="15" t="s">
        <v>430</v>
      </c>
      <c r="C433" s="16">
        <f>SUM(C434:C441)</f>
        <v>1419</v>
      </c>
      <c r="D433" s="16">
        <f>SUM(D434:D441)</f>
        <v>2</v>
      </c>
      <c r="E433" s="16">
        <f>SUM(E434:E441)</f>
        <v>3</v>
      </c>
      <c r="F433" s="16">
        <f t="shared" si="38"/>
        <v>1414</v>
      </c>
      <c r="G433" s="16">
        <f>SUM(G434:G441)</f>
        <v>1284</v>
      </c>
      <c r="H433" s="16">
        <f>SUM(H434:H441)</f>
        <v>-35</v>
      </c>
      <c r="I433" s="23">
        <f>H433/-45579*13363</f>
        <v>10.261414247789551</v>
      </c>
      <c r="J433" s="17"/>
    </row>
    <row r="434" spans="1:10" ht="13.5">
      <c r="A434" s="1">
        <v>1</v>
      </c>
      <c r="B434" s="2" t="s">
        <v>431</v>
      </c>
      <c r="C434" s="3">
        <v>648</v>
      </c>
      <c r="D434" s="3">
        <v>1</v>
      </c>
      <c r="E434" s="3">
        <v>2</v>
      </c>
      <c r="F434" s="3">
        <f t="shared" si="38"/>
        <v>645</v>
      </c>
      <c r="G434" s="3">
        <v>672</v>
      </c>
      <c r="H434" s="3">
        <f t="shared" si="37"/>
        <v>-27</v>
      </c>
      <c r="I434" s="21">
        <f>H434/-35*10</f>
        <v>7.714285714285714</v>
      </c>
      <c r="J434" s="17"/>
    </row>
    <row r="435" spans="1:10" ht="13.5">
      <c r="A435" s="1">
        <v>2</v>
      </c>
      <c r="B435" s="2" t="s">
        <v>432</v>
      </c>
      <c r="C435" s="3">
        <v>248</v>
      </c>
      <c r="D435" s="3">
        <v>1</v>
      </c>
      <c r="E435" s="3">
        <v>1</v>
      </c>
      <c r="F435" s="3">
        <f t="shared" si="38"/>
        <v>246</v>
      </c>
      <c r="G435" s="3">
        <v>81</v>
      </c>
      <c r="H435" s="3">
        <v>0</v>
      </c>
      <c r="I435" s="21">
        <f aca="true" t="shared" si="40" ref="I435:I441">H435/-35*10</f>
        <v>0</v>
      </c>
      <c r="J435" s="17">
        <f>F435-G435</f>
        <v>165</v>
      </c>
    </row>
    <row r="436" spans="1:10" ht="13.5">
      <c r="A436" s="1">
        <v>3</v>
      </c>
      <c r="B436" s="2" t="s">
        <v>433</v>
      </c>
      <c r="C436" s="3">
        <v>18</v>
      </c>
      <c r="D436" s="3"/>
      <c r="E436" s="3"/>
      <c r="F436" s="3">
        <f t="shared" si="38"/>
        <v>18</v>
      </c>
      <c r="G436" s="3">
        <v>18</v>
      </c>
      <c r="H436" s="3">
        <f t="shared" si="37"/>
        <v>0</v>
      </c>
      <c r="I436" s="21">
        <f t="shared" si="40"/>
        <v>0</v>
      </c>
      <c r="J436" s="17"/>
    </row>
    <row r="437" spans="1:10" ht="13.5">
      <c r="A437" s="1">
        <v>4</v>
      </c>
      <c r="B437" s="2" t="s">
        <v>434</v>
      </c>
      <c r="C437" s="3"/>
      <c r="D437" s="3"/>
      <c r="E437" s="3"/>
      <c r="F437" s="3">
        <f t="shared" si="38"/>
        <v>0</v>
      </c>
      <c r="G437" s="3"/>
      <c r="H437" s="3">
        <f t="shared" si="37"/>
        <v>0</v>
      </c>
      <c r="I437" s="21">
        <f t="shared" si="40"/>
        <v>0</v>
      </c>
      <c r="J437" s="17"/>
    </row>
    <row r="438" spans="1:10" ht="13.5">
      <c r="A438" s="1">
        <v>5</v>
      </c>
      <c r="B438" s="2" t="s">
        <v>435</v>
      </c>
      <c r="C438" s="3">
        <v>18</v>
      </c>
      <c r="D438" s="3"/>
      <c r="E438" s="3"/>
      <c r="F438" s="3">
        <f t="shared" si="38"/>
        <v>18</v>
      </c>
      <c r="G438" s="3">
        <v>18</v>
      </c>
      <c r="H438" s="3">
        <f t="shared" si="37"/>
        <v>0</v>
      </c>
      <c r="I438" s="21">
        <f t="shared" si="40"/>
        <v>0</v>
      </c>
      <c r="J438" s="17"/>
    </row>
    <row r="439" spans="1:10" ht="13.5">
      <c r="A439" s="1">
        <v>6</v>
      </c>
      <c r="B439" s="2" t="s">
        <v>436</v>
      </c>
      <c r="C439" s="3">
        <v>6</v>
      </c>
      <c r="D439" s="3"/>
      <c r="E439" s="3"/>
      <c r="F439" s="3">
        <f t="shared" si="38"/>
        <v>6</v>
      </c>
      <c r="G439" s="3">
        <v>6</v>
      </c>
      <c r="H439" s="3">
        <f t="shared" si="37"/>
        <v>0</v>
      </c>
      <c r="I439" s="21">
        <f t="shared" si="40"/>
        <v>0</v>
      </c>
      <c r="J439" s="17"/>
    </row>
    <row r="440" spans="1:10" ht="13.5">
      <c r="A440" s="1">
        <v>7</v>
      </c>
      <c r="B440" s="2" t="s">
        <v>437</v>
      </c>
      <c r="C440" s="3">
        <v>422</v>
      </c>
      <c r="D440" s="3"/>
      <c r="E440" s="3"/>
      <c r="F440" s="3">
        <f t="shared" si="38"/>
        <v>422</v>
      </c>
      <c r="G440" s="3">
        <v>430</v>
      </c>
      <c r="H440" s="3">
        <f t="shared" si="37"/>
        <v>-8</v>
      </c>
      <c r="I440" s="21">
        <f t="shared" si="40"/>
        <v>2.2857142857142856</v>
      </c>
      <c r="J440" s="17"/>
    </row>
    <row r="441" spans="1:10" ht="13.5">
      <c r="A441" s="1">
        <v>8</v>
      </c>
      <c r="B441" s="2" t="s">
        <v>438</v>
      </c>
      <c r="C441" s="3">
        <v>59</v>
      </c>
      <c r="D441" s="3"/>
      <c r="E441" s="3"/>
      <c r="F441" s="3">
        <f t="shared" si="38"/>
        <v>59</v>
      </c>
      <c r="G441" s="3">
        <v>59</v>
      </c>
      <c r="H441" s="3">
        <f t="shared" si="37"/>
        <v>0</v>
      </c>
      <c r="I441" s="21">
        <f t="shared" si="40"/>
        <v>0</v>
      </c>
      <c r="J441" s="17"/>
    </row>
    <row r="442" spans="1:10" ht="22.5" customHeight="1">
      <c r="A442" s="74" t="s">
        <v>2</v>
      </c>
      <c r="B442" s="74"/>
      <c r="C442" s="5">
        <f aca="true" t="shared" si="41" ref="C442:I442">C433+C404+C398+C392+C385+C356+C346+C338+C324+C310+C295+C284+C267+C258+C248+C241+C202+C196+C160+C134+C133+C127+C119+C108+C100+C88+C77+C65+C48+C27+C6</f>
        <v>266378</v>
      </c>
      <c r="D442" s="5">
        <f t="shared" si="41"/>
        <v>943</v>
      </c>
      <c r="E442" s="5">
        <f t="shared" si="41"/>
        <v>2584</v>
      </c>
      <c r="F442" s="5">
        <f t="shared" si="41"/>
        <v>262851</v>
      </c>
      <c r="G442" s="5">
        <f t="shared" si="41"/>
        <v>291768</v>
      </c>
      <c r="H442" s="5">
        <f t="shared" si="41"/>
        <v>-45579</v>
      </c>
      <c r="I442" s="5">
        <f t="shared" si="41"/>
        <v>13363</v>
      </c>
      <c r="J442" s="48">
        <f>SUM(J6:J441)</f>
        <v>16660</v>
      </c>
    </row>
    <row r="445" ht="12.75">
      <c r="H445" s="17">
        <f>H442+28917</f>
        <v>-16662</v>
      </c>
    </row>
  </sheetData>
  <mergeCells count="12">
    <mergeCell ref="G4:G5"/>
    <mergeCell ref="H4:H5"/>
    <mergeCell ref="I4:I5"/>
    <mergeCell ref="A442:B442"/>
    <mergeCell ref="A1:I1"/>
    <mergeCell ref="A2:I2"/>
    <mergeCell ref="C4:C5"/>
    <mergeCell ref="D4:D5"/>
    <mergeCell ref="A4:A5"/>
    <mergeCell ref="B4:B5"/>
    <mergeCell ref="E4:E5"/>
    <mergeCell ref="F4:F5"/>
  </mergeCells>
  <printOptions horizontalCentered="1"/>
  <pageMargins left="1.13" right="0.46" top="0.81" bottom="1.47" header="0.5" footer="1.24"/>
  <pageSetup horizontalDpi="600" verticalDpi="600" orientation="portrait" pageOrder="overThenDown" paperSize="14" r:id="rId1"/>
  <headerFooter alignWithMargins="0">
    <oddFooter>&amp;C&amp;"Arial Narrow,Regular"&amp;9&amp;P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43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22.140625" style="0" bestFit="1" customWidth="1"/>
    <col min="3" max="3" width="7.28125" style="0" customWidth="1"/>
    <col min="4" max="4" width="5.421875" style="0" customWidth="1"/>
    <col min="5" max="5" width="5.8515625" style="0" customWidth="1"/>
    <col min="6" max="6" width="7.28125" style="0" customWidth="1"/>
    <col min="7" max="7" width="7.8515625" style="0" customWidth="1"/>
    <col min="8" max="8" width="9.28125" style="0" customWidth="1"/>
  </cols>
  <sheetData>
    <row r="1" spans="1:9" ht="12.75">
      <c r="A1" s="70" t="s">
        <v>480</v>
      </c>
      <c r="B1" s="70"/>
      <c r="C1" s="70"/>
      <c r="D1" s="70"/>
      <c r="E1" s="70"/>
      <c r="F1" s="70"/>
      <c r="G1" s="70"/>
      <c r="H1" s="70"/>
      <c r="I1" s="8"/>
    </row>
    <row r="2" spans="1:9" ht="12.75">
      <c r="A2" s="70" t="s">
        <v>482</v>
      </c>
      <c r="B2" s="70"/>
      <c r="C2" s="70"/>
      <c r="D2" s="70"/>
      <c r="E2" s="70"/>
      <c r="F2" s="70"/>
      <c r="G2" s="70"/>
      <c r="H2" s="70"/>
      <c r="I2" s="8"/>
    </row>
    <row r="3" spans="1:8" ht="12.75">
      <c r="A3" s="19"/>
      <c r="B3" s="24"/>
      <c r="C3" s="19"/>
      <c r="D3" s="19"/>
      <c r="E3" s="19"/>
      <c r="F3" s="19"/>
      <c r="G3" s="19"/>
      <c r="H3" s="19"/>
    </row>
    <row r="4" spans="1:9" ht="18" customHeight="1">
      <c r="A4" s="77" t="s">
        <v>0</v>
      </c>
      <c r="B4" s="67" t="s">
        <v>1</v>
      </c>
      <c r="C4" s="78" t="s">
        <v>483</v>
      </c>
      <c r="D4" s="72" t="s">
        <v>447</v>
      </c>
      <c r="E4" s="68" t="s">
        <v>442</v>
      </c>
      <c r="F4" s="68" t="s">
        <v>443</v>
      </c>
      <c r="G4" s="68" t="s">
        <v>444</v>
      </c>
      <c r="H4" s="69" t="s">
        <v>490</v>
      </c>
      <c r="I4" s="69" t="s">
        <v>496</v>
      </c>
    </row>
    <row r="5" spans="1:9" ht="24.75" customHeight="1">
      <c r="A5" s="77"/>
      <c r="B5" s="67"/>
      <c r="C5" s="78"/>
      <c r="D5" s="73"/>
      <c r="E5" s="68"/>
      <c r="F5" s="68"/>
      <c r="G5" s="68"/>
      <c r="H5" s="69"/>
      <c r="I5" s="69"/>
    </row>
    <row r="6" spans="1:9" ht="13.5">
      <c r="A6" s="11" t="s">
        <v>448</v>
      </c>
      <c r="B6" s="25" t="s">
        <v>3</v>
      </c>
      <c r="C6" s="13">
        <f>SUM(C7:C26)</f>
        <v>4863</v>
      </c>
      <c r="D6" s="13">
        <f>SUM(D7:D26)</f>
        <v>9</v>
      </c>
      <c r="E6" s="13">
        <f>SUM(E7:E26)</f>
        <v>16</v>
      </c>
      <c r="F6" s="13">
        <f>C6-E6-D6</f>
        <v>4838</v>
      </c>
      <c r="G6" s="13">
        <f>SUM(G7:G26)</f>
        <v>6007</v>
      </c>
      <c r="H6" s="13">
        <f>SUM(H7:H26)</f>
        <v>-1169</v>
      </c>
      <c r="I6" s="23">
        <f>H6/-16804*2819</f>
        <v>196.10872411330638</v>
      </c>
    </row>
    <row r="7" spans="1:9" ht="13.5">
      <c r="A7" s="1">
        <v>1</v>
      </c>
      <c r="B7" s="2" t="s">
        <v>4</v>
      </c>
      <c r="C7" s="3">
        <v>220</v>
      </c>
      <c r="D7" s="3">
        <v>2</v>
      </c>
      <c r="E7" s="3"/>
      <c r="F7" s="3">
        <f aca="true" t="shared" si="0" ref="F7:F70">C7-E7-D7</f>
        <v>218</v>
      </c>
      <c r="G7" s="3">
        <v>389</v>
      </c>
      <c r="H7" s="3">
        <f>F7-G7</f>
        <v>-171</v>
      </c>
      <c r="I7" s="21">
        <f>H7/-1169*196</f>
        <v>28.67065868263473</v>
      </c>
    </row>
    <row r="8" spans="1:9" ht="13.5">
      <c r="A8" s="1">
        <v>2</v>
      </c>
      <c r="B8" s="2" t="s">
        <v>5</v>
      </c>
      <c r="C8" s="3">
        <v>130</v>
      </c>
      <c r="D8" s="3"/>
      <c r="E8" s="3"/>
      <c r="F8" s="3">
        <f t="shared" si="0"/>
        <v>130</v>
      </c>
      <c r="G8" s="3">
        <v>230</v>
      </c>
      <c r="H8" s="3">
        <f aca="true" t="shared" si="1" ref="H8:H26">F8-G8</f>
        <v>-100</v>
      </c>
      <c r="I8" s="21">
        <f aca="true" t="shared" si="2" ref="I8:I26">H8/-1169*196</f>
        <v>16.766467065868262</v>
      </c>
    </row>
    <row r="9" spans="1:9" ht="13.5">
      <c r="A9" s="1">
        <v>3</v>
      </c>
      <c r="B9" s="2" t="s">
        <v>6</v>
      </c>
      <c r="C9" s="3">
        <v>120</v>
      </c>
      <c r="D9" s="3"/>
      <c r="E9" s="3"/>
      <c r="F9" s="3">
        <f t="shared" si="0"/>
        <v>120</v>
      </c>
      <c r="G9" s="3">
        <v>549</v>
      </c>
      <c r="H9" s="3">
        <f t="shared" si="1"/>
        <v>-429</v>
      </c>
      <c r="I9" s="21">
        <f t="shared" si="2"/>
        <v>71.92814371257485</v>
      </c>
    </row>
    <row r="10" spans="1:9" ht="13.5">
      <c r="A10" s="1">
        <v>4</v>
      </c>
      <c r="B10" s="2" t="s">
        <v>7</v>
      </c>
      <c r="C10" s="3">
        <v>313</v>
      </c>
      <c r="D10" s="3">
        <v>2</v>
      </c>
      <c r="E10" s="3">
        <v>3</v>
      </c>
      <c r="F10" s="3">
        <f t="shared" si="0"/>
        <v>308</v>
      </c>
      <c r="G10" s="3">
        <v>308</v>
      </c>
      <c r="H10" s="3">
        <f t="shared" si="1"/>
        <v>0</v>
      </c>
      <c r="I10" s="21">
        <f t="shared" si="2"/>
        <v>0</v>
      </c>
    </row>
    <row r="11" spans="1:9" ht="13.5">
      <c r="A11" s="1">
        <v>5</v>
      </c>
      <c r="B11" s="2" t="s">
        <v>8</v>
      </c>
      <c r="C11" s="3">
        <v>223</v>
      </c>
      <c r="D11" s="3"/>
      <c r="E11" s="3"/>
      <c r="F11" s="3">
        <f t="shared" si="0"/>
        <v>223</v>
      </c>
      <c r="G11" s="3">
        <v>486</v>
      </c>
      <c r="H11" s="3">
        <f t="shared" si="1"/>
        <v>-263</v>
      </c>
      <c r="I11" s="21">
        <f t="shared" si="2"/>
        <v>44.09580838323353</v>
      </c>
    </row>
    <row r="12" spans="1:9" ht="13.5">
      <c r="A12" s="1">
        <v>6</v>
      </c>
      <c r="B12" s="2" t="s">
        <v>9</v>
      </c>
      <c r="C12" s="3">
        <v>610</v>
      </c>
      <c r="D12" s="3">
        <v>1</v>
      </c>
      <c r="E12" s="3"/>
      <c r="F12" s="3">
        <f t="shared" si="0"/>
        <v>609</v>
      </c>
      <c r="G12" s="3">
        <v>609</v>
      </c>
      <c r="H12" s="3">
        <f t="shared" si="1"/>
        <v>0</v>
      </c>
      <c r="I12" s="21">
        <f t="shared" si="2"/>
        <v>0</v>
      </c>
    </row>
    <row r="13" spans="1:9" ht="13.5">
      <c r="A13" s="1">
        <v>7</v>
      </c>
      <c r="B13" s="2" t="s">
        <v>10</v>
      </c>
      <c r="C13" s="3">
        <v>694</v>
      </c>
      <c r="D13" s="3">
        <v>1</v>
      </c>
      <c r="E13" s="3">
        <v>3</v>
      </c>
      <c r="F13" s="3">
        <f t="shared" si="0"/>
        <v>690</v>
      </c>
      <c r="G13" s="3">
        <v>690</v>
      </c>
      <c r="H13" s="3">
        <f t="shared" si="1"/>
        <v>0</v>
      </c>
      <c r="I13" s="21">
        <f t="shared" si="2"/>
        <v>0</v>
      </c>
    </row>
    <row r="14" spans="1:9" ht="13.5">
      <c r="A14" s="1">
        <v>8</v>
      </c>
      <c r="B14" s="2" t="s">
        <v>11</v>
      </c>
      <c r="C14" s="3">
        <v>341</v>
      </c>
      <c r="D14" s="3"/>
      <c r="E14" s="3"/>
      <c r="F14" s="3">
        <f t="shared" si="0"/>
        <v>341</v>
      </c>
      <c r="G14" s="3">
        <v>418</v>
      </c>
      <c r="H14" s="3">
        <f t="shared" si="1"/>
        <v>-77</v>
      </c>
      <c r="I14" s="21">
        <f t="shared" si="2"/>
        <v>12.910179640718564</v>
      </c>
    </row>
    <row r="15" spans="1:9" ht="13.5">
      <c r="A15" s="1">
        <v>9</v>
      </c>
      <c r="B15" s="2" t="s">
        <v>12</v>
      </c>
      <c r="C15" s="3">
        <v>39</v>
      </c>
      <c r="D15" s="3"/>
      <c r="E15" s="3">
        <v>1</v>
      </c>
      <c r="F15" s="3">
        <f t="shared" si="0"/>
        <v>38</v>
      </c>
      <c r="G15" s="3">
        <v>63</v>
      </c>
      <c r="H15" s="3">
        <f t="shared" si="1"/>
        <v>-25</v>
      </c>
      <c r="I15" s="21">
        <f t="shared" si="2"/>
        <v>4.191616766467066</v>
      </c>
    </row>
    <row r="16" spans="1:9" ht="13.5">
      <c r="A16" s="1">
        <v>10</v>
      </c>
      <c r="B16" s="2" t="s">
        <v>13</v>
      </c>
      <c r="C16" s="3">
        <v>55</v>
      </c>
      <c r="D16" s="3"/>
      <c r="E16" s="3"/>
      <c r="F16" s="3">
        <f t="shared" si="0"/>
        <v>55</v>
      </c>
      <c r="G16" s="3">
        <v>101</v>
      </c>
      <c r="H16" s="3">
        <f t="shared" si="1"/>
        <v>-46</v>
      </c>
      <c r="I16" s="21">
        <f t="shared" si="2"/>
        <v>7.712574850299402</v>
      </c>
    </row>
    <row r="17" spans="1:9" ht="13.5">
      <c r="A17" s="1">
        <v>11</v>
      </c>
      <c r="B17" s="2" t="s">
        <v>14</v>
      </c>
      <c r="C17" s="3">
        <v>482</v>
      </c>
      <c r="D17" s="3">
        <v>1</v>
      </c>
      <c r="E17" s="3">
        <v>2</v>
      </c>
      <c r="F17" s="3">
        <f t="shared" si="0"/>
        <v>479</v>
      </c>
      <c r="G17" s="3">
        <v>525</v>
      </c>
      <c r="H17" s="3">
        <f t="shared" si="1"/>
        <v>-46</v>
      </c>
      <c r="I17" s="21">
        <f t="shared" si="2"/>
        <v>7.712574850299402</v>
      </c>
    </row>
    <row r="18" spans="1:9" ht="13.5">
      <c r="A18" s="1">
        <v>12</v>
      </c>
      <c r="B18" s="2" t="s">
        <v>15</v>
      </c>
      <c r="C18" s="3">
        <v>175</v>
      </c>
      <c r="D18" s="3"/>
      <c r="E18" s="3">
        <v>1</v>
      </c>
      <c r="F18" s="3">
        <f t="shared" si="0"/>
        <v>174</v>
      </c>
      <c r="G18" s="3">
        <v>174</v>
      </c>
      <c r="H18" s="3">
        <f t="shared" si="1"/>
        <v>0</v>
      </c>
      <c r="I18" s="21">
        <f t="shared" si="2"/>
        <v>0</v>
      </c>
    </row>
    <row r="19" spans="1:9" ht="13.5">
      <c r="A19" s="1">
        <v>13</v>
      </c>
      <c r="B19" s="2" t="s">
        <v>16</v>
      </c>
      <c r="C19" s="3">
        <v>28</v>
      </c>
      <c r="D19" s="3"/>
      <c r="E19" s="3"/>
      <c r="F19" s="3">
        <f t="shared" si="0"/>
        <v>28</v>
      </c>
      <c r="G19" s="3">
        <v>28</v>
      </c>
      <c r="H19" s="3">
        <f t="shared" si="1"/>
        <v>0</v>
      </c>
      <c r="I19" s="21">
        <f t="shared" si="2"/>
        <v>0</v>
      </c>
    </row>
    <row r="20" spans="1:9" ht="13.5">
      <c r="A20" s="1">
        <v>14</v>
      </c>
      <c r="B20" s="2" t="s">
        <v>17</v>
      </c>
      <c r="C20" s="3">
        <v>127</v>
      </c>
      <c r="D20" s="3"/>
      <c r="E20" s="3">
        <v>1</v>
      </c>
      <c r="F20" s="3">
        <f t="shared" si="0"/>
        <v>126</v>
      </c>
      <c r="G20" s="3">
        <v>126</v>
      </c>
      <c r="H20" s="3">
        <f t="shared" si="1"/>
        <v>0</v>
      </c>
      <c r="I20" s="21">
        <f t="shared" si="2"/>
        <v>0</v>
      </c>
    </row>
    <row r="21" spans="1:9" ht="13.5">
      <c r="A21" s="1">
        <v>15</v>
      </c>
      <c r="B21" s="2" t="s">
        <v>18</v>
      </c>
      <c r="C21" s="3">
        <v>111</v>
      </c>
      <c r="D21" s="3"/>
      <c r="E21" s="3"/>
      <c r="F21" s="3">
        <f t="shared" si="0"/>
        <v>111</v>
      </c>
      <c r="G21" s="3">
        <v>111</v>
      </c>
      <c r="H21" s="3">
        <f t="shared" si="1"/>
        <v>0</v>
      </c>
      <c r="I21" s="21">
        <f t="shared" si="2"/>
        <v>0</v>
      </c>
    </row>
    <row r="22" spans="1:9" ht="13.5">
      <c r="A22" s="1">
        <v>16</v>
      </c>
      <c r="B22" s="2" t="s">
        <v>19</v>
      </c>
      <c r="C22" s="3">
        <v>54</v>
      </c>
      <c r="D22" s="3"/>
      <c r="E22" s="3"/>
      <c r="F22" s="3">
        <f t="shared" si="0"/>
        <v>54</v>
      </c>
      <c r="G22" s="3">
        <v>54</v>
      </c>
      <c r="H22" s="3">
        <f t="shared" si="1"/>
        <v>0</v>
      </c>
      <c r="I22" s="21">
        <f t="shared" si="2"/>
        <v>0</v>
      </c>
    </row>
    <row r="23" spans="1:9" ht="13.5">
      <c r="A23" s="1">
        <v>17</v>
      </c>
      <c r="B23" s="2" t="s">
        <v>20</v>
      </c>
      <c r="C23" s="3">
        <v>799</v>
      </c>
      <c r="D23" s="3">
        <v>1</v>
      </c>
      <c r="E23" s="3">
        <v>5</v>
      </c>
      <c r="F23" s="3">
        <f t="shared" si="0"/>
        <v>793</v>
      </c>
      <c r="G23" s="3">
        <v>793</v>
      </c>
      <c r="H23" s="3">
        <f t="shared" si="1"/>
        <v>0</v>
      </c>
      <c r="I23" s="21">
        <f t="shared" si="2"/>
        <v>0</v>
      </c>
    </row>
    <row r="24" spans="1:9" ht="13.5">
      <c r="A24" s="1">
        <v>18</v>
      </c>
      <c r="B24" s="2" t="s">
        <v>21</v>
      </c>
      <c r="C24" s="3">
        <v>53</v>
      </c>
      <c r="D24" s="3"/>
      <c r="E24" s="3"/>
      <c r="F24" s="3">
        <f t="shared" si="0"/>
        <v>53</v>
      </c>
      <c r="G24" s="3">
        <v>65</v>
      </c>
      <c r="H24" s="3">
        <f t="shared" si="1"/>
        <v>-12</v>
      </c>
      <c r="I24" s="21">
        <f t="shared" si="2"/>
        <v>2.0119760479041915</v>
      </c>
    </row>
    <row r="25" spans="1:9" ht="13.5">
      <c r="A25" s="1">
        <v>19</v>
      </c>
      <c r="B25" s="2" t="s">
        <v>22</v>
      </c>
      <c r="C25" s="3">
        <v>154</v>
      </c>
      <c r="D25" s="3">
        <v>1</v>
      </c>
      <c r="E25" s="3"/>
      <c r="F25" s="3">
        <f t="shared" si="0"/>
        <v>153</v>
      </c>
      <c r="G25" s="3">
        <v>153</v>
      </c>
      <c r="H25" s="3">
        <f t="shared" si="1"/>
        <v>0</v>
      </c>
      <c r="I25" s="21">
        <f t="shared" si="2"/>
        <v>0</v>
      </c>
    </row>
    <row r="26" spans="1:9" ht="13.5">
      <c r="A26" s="1">
        <v>20</v>
      </c>
      <c r="B26" s="2" t="s">
        <v>23</v>
      </c>
      <c r="C26" s="3">
        <v>135</v>
      </c>
      <c r="D26" s="3"/>
      <c r="E26" s="3"/>
      <c r="F26" s="3">
        <f t="shared" si="0"/>
        <v>135</v>
      </c>
      <c r="G26" s="3">
        <v>135</v>
      </c>
      <c r="H26" s="3">
        <f t="shared" si="1"/>
        <v>0</v>
      </c>
      <c r="I26" s="21">
        <f t="shared" si="2"/>
        <v>0</v>
      </c>
    </row>
    <row r="27" spans="1:9" ht="13.5">
      <c r="A27" s="14" t="s">
        <v>449</v>
      </c>
      <c r="B27" s="15" t="s">
        <v>24</v>
      </c>
      <c r="C27" s="16">
        <f>SUM(C28:C47)</f>
        <v>8662</v>
      </c>
      <c r="D27" s="16">
        <f>SUM(D28:D47)</f>
        <v>32</v>
      </c>
      <c r="E27" s="16">
        <f>SUM(E28:E47)</f>
        <v>92</v>
      </c>
      <c r="F27" s="16">
        <f t="shared" si="0"/>
        <v>8538</v>
      </c>
      <c r="G27" s="16">
        <f>SUM(G28:G47)</f>
        <v>8907</v>
      </c>
      <c r="H27" s="16">
        <f>SUM(H28:H47)</f>
        <v>-369</v>
      </c>
      <c r="I27" s="23">
        <f>H27/-16804*2819</f>
        <v>61.90258271840038</v>
      </c>
    </row>
    <row r="28" spans="1:9" ht="13.5">
      <c r="A28" s="1">
        <v>1</v>
      </c>
      <c r="B28" s="2" t="s">
        <v>25</v>
      </c>
      <c r="C28" s="3">
        <v>204</v>
      </c>
      <c r="D28" s="3"/>
      <c r="E28" s="3">
        <v>2</v>
      </c>
      <c r="F28" s="3">
        <f t="shared" si="0"/>
        <v>202</v>
      </c>
      <c r="G28" s="3">
        <v>287</v>
      </c>
      <c r="H28" s="3">
        <f>F28-G28</f>
        <v>-85</v>
      </c>
      <c r="I28" s="21">
        <f>H28/-369*62</f>
        <v>14.281842818428185</v>
      </c>
    </row>
    <row r="29" spans="1:9" ht="13.5">
      <c r="A29" s="1">
        <v>2</v>
      </c>
      <c r="B29" s="2" t="s">
        <v>26</v>
      </c>
      <c r="C29" s="3">
        <v>350</v>
      </c>
      <c r="D29" s="3">
        <v>3</v>
      </c>
      <c r="E29" s="3">
        <v>2</v>
      </c>
      <c r="F29" s="3">
        <f t="shared" si="0"/>
        <v>345</v>
      </c>
      <c r="G29" s="3">
        <v>486</v>
      </c>
      <c r="H29" s="3">
        <f aca="true" t="shared" si="3" ref="H29:H47">F29-G29</f>
        <v>-141</v>
      </c>
      <c r="I29" s="21">
        <f aca="true" t="shared" si="4" ref="I29:I47">H29/-369*62</f>
        <v>23.691056910569106</v>
      </c>
    </row>
    <row r="30" spans="1:9" ht="13.5">
      <c r="A30" s="1">
        <v>3</v>
      </c>
      <c r="B30" s="2" t="s">
        <v>27</v>
      </c>
      <c r="C30" s="3">
        <v>205</v>
      </c>
      <c r="D30" s="3"/>
      <c r="E30" s="3">
        <v>1</v>
      </c>
      <c r="F30" s="3">
        <f t="shared" si="0"/>
        <v>204</v>
      </c>
      <c r="G30" s="3">
        <v>204</v>
      </c>
      <c r="H30" s="3">
        <f t="shared" si="3"/>
        <v>0</v>
      </c>
      <c r="I30" s="21">
        <f t="shared" si="4"/>
        <v>0</v>
      </c>
    </row>
    <row r="31" spans="1:9" ht="13.5">
      <c r="A31" s="1">
        <v>4</v>
      </c>
      <c r="B31" s="2" t="s">
        <v>28</v>
      </c>
      <c r="C31" s="3">
        <v>502</v>
      </c>
      <c r="D31" s="3">
        <v>1</v>
      </c>
      <c r="E31" s="3">
        <v>4</v>
      </c>
      <c r="F31" s="3">
        <f t="shared" si="0"/>
        <v>497</v>
      </c>
      <c r="G31" s="3">
        <v>497</v>
      </c>
      <c r="H31" s="3">
        <f t="shared" si="3"/>
        <v>0</v>
      </c>
      <c r="I31" s="21">
        <f t="shared" si="4"/>
        <v>0</v>
      </c>
    </row>
    <row r="32" spans="1:9" ht="13.5">
      <c r="A32" s="1">
        <v>5</v>
      </c>
      <c r="B32" s="2" t="s">
        <v>29</v>
      </c>
      <c r="C32" s="3">
        <v>432</v>
      </c>
      <c r="D32" s="3"/>
      <c r="E32" s="3">
        <v>5</v>
      </c>
      <c r="F32" s="3">
        <f t="shared" si="0"/>
        <v>427</v>
      </c>
      <c r="G32" s="3">
        <v>427</v>
      </c>
      <c r="H32" s="3">
        <f t="shared" si="3"/>
        <v>0</v>
      </c>
      <c r="I32" s="21">
        <f t="shared" si="4"/>
        <v>0</v>
      </c>
    </row>
    <row r="33" spans="1:9" ht="13.5">
      <c r="A33" s="1">
        <v>6</v>
      </c>
      <c r="B33" s="2" t="s">
        <v>30</v>
      </c>
      <c r="C33" s="3">
        <v>472</v>
      </c>
      <c r="D33" s="3">
        <v>2</v>
      </c>
      <c r="E33" s="3">
        <v>2</v>
      </c>
      <c r="F33" s="3">
        <f t="shared" si="0"/>
        <v>468</v>
      </c>
      <c r="G33" s="3">
        <v>468</v>
      </c>
      <c r="H33" s="3">
        <f t="shared" si="3"/>
        <v>0</v>
      </c>
      <c r="I33" s="21">
        <f t="shared" si="4"/>
        <v>0</v>
      </c>
    </row>
    <row r="34" spans="1:9" ht="13.5">
      <c r="A34" s="1">
        <v>7</v>
      </c>
      <c r="B34" s="2" t="s">
        <v>31</v>
      </c>
      <c r="C34" s="3">
        <v>573</v>
      </c>
      <c r="D34" s="3"/>
      <c r="E34" s="3">
        <v>8</v>
      </c>
      <c r="F34" s="3">
        <f t="shared" si="0"/>
        <v>565</v>
      </c>
      <c r="G34" s="3">
        <v>566</v>
      </c>
      <c r="H34" s="3">
        <f t="shared" si="3"/>
        <v>-1</v>
      </c>
      <c r="I34" s="21">
        <f t="shared" si="4"/>
        <v>0.16802168021680217</v>
      </c>
    </row>
    <row r="35" spans="1:9" ht="13.5">
      <c r="A35" s="1">
        <v>8</v>
      </c>
      <c r="B35" s="2" t="s">
        <v>32</v>
      </c>
      <c r="C35" s="3">
        <v>322</v>
      </c>
      <c r="D35" s="3"/>
      <c r="E35" s="3">
        <v>5</v>
      </c>
      <c r="F35" s="3">
        <f t="shared" si="0"/>
        <v>317</v>
      </c>
      <c r="G35" s="3">
        <v>317</v>
      </c>
      <c r="H35" s="3">
        <f t="shared" si="3"/>
        <v>0</v>
      </c>
      <c r="I35" s="21">
        <f t="shared" si="4"/>
        <v>0</v>
      </c>
    </row>
    <row r="36" spans="1:9" ht="13.5">
      <c r="A36" s="1">
        <v>9</v>
      </c>
      <c r="B36" s="2" t="s">
        <v>33</v>
      </c>
      <c r="C36" s="3">
        <v>412</v>
      </c>
      <c r="D36" s="3">
        <v>2</v>
      </c>
      <c r="E36" s="3">
        <v>3</v>
      </c>
      <c r="F36" s="3">
        <f t="shared" si="0"/>
        <v>407</v>
      </c>
      <c r="G36" s="3">
        <v>407</v>
      </c>
      <c r="H36" s="3">
        <f t="shared" si="3"/>
        <v>0</v>
      </c>
      <c r="I36" s="21">
        <f t="shared" si="4"/>
        <v>0</v>
      </c>
    </row>
    <row r="37" spans="1:9" ht="13.5">
      <c r="A37" s="1">
        <v>10</v>
      </c>
      <c r="B37" s="2" t="s">
        <v>34</v>
      </c>
      <c r="C37" s="3">
        <v>968</v>
      </c>
      <c r="D37" s="3">
        <v>2</v>
      </c>
      <c r="E37" s="3">
        <v>5</v>
      </c>
      <c r="F37" s="3">
        <f t="shared" si="0"/>
        <v>961</v>
      </c>
      <c r="G37" s="3">
        <v>961</v>
      </c>
      <c r="H37" s="3">
        <f t="shared" si="3"/>
        <v>0</v>
      </c>
      <c r="I37" s="21">
        <f t="shared" si="4"/>
        <v>0</v>
      </c>
    </row>
    <row r="38" spans="1:9" ht="13.5">
      <c r="A38" s="1">
        <v>11</v>
      </c>
      <c r="B38" s="2" t="s">
        <v>35</v>
      </c>
      <c r="C38" s="3">
        <v>436</v>
      </c>
      <c r="D38" s="3"/>
      <c r="E38" s="3">
        <v>2</v>
      </c>
      <c r="F38" s="3">
        <f t="shared" si="0"/>
        <v>434</v>
      </c>
      <c r="G38" s="3">
        <v>437</v>
      </c>
      <c r="H38" s="3">
        <f t="shared" si="3"/>
        <v>-3</v>
      </c>
      <c r="I38" s="21">
        <f t="shared" si="4"/>
        <v>0.5040650406504066</v>
      </c>
    </row>
    <row r="39" spans="1:9" ht="13.5">
      <c r="A39" s="1">
        <v>12</v>
      </c>
      <c r="B39" s="2" t="s">
        <v>36</v>
      </c>
      <c r="C39" s="3">
        <v>308</v>
      </c>
      <c r="D39" s="3">
        <v>1</v>
      </c>
      <c r="E39" s="3">
        <v>7</v>
      </c>
      <c r="F39" s="3">
        <f t="shared" si="0"/>
        <v>300</v>
      </c>
      <c r="G39" s="3">
        <v>339</v>
      </c>
      <c r="H39" s="3">
        <f t="shared" si="3"/>
        <v>-39</v>
      </c>
      <c r="I39" s="21">
        <f t="shared" si="4"/>
        <v>6.552845528455285</v>
      </c>
    </row>
    <row r="40" spans="1:9" ht="13.5">
      <c r="A40" s="1">
        <v>13</v>
      </c>
      <c r="B40" s="2" t="s">
        <v>37</v>
      </c>
      <c r="C40" s="3">
        <v>235</v>
      </c>
      <c r="D40" s="3">
        <v>1</v>
      </c>
      <c r="E40" s="3">
        <v>1</v>
      </c>
      <c r="F40" s="3">
        <f t="shared" si="0"/>
        <v>233</v>
      </c>
      <c r="G40" s="3">
        <v>233</v>
      </c>
      <c r="H40" s="3">
        <f t="shared" si="3"/>
        <v>0</v>
      </c>
      <c r="I40" s="21">
        <f t="shared" si="4"/>
        <v>0</v>
      </c>
    </row>
    <row r="41" spans="1:9" ht="13.5">
      <c r="A41" s="1">
        <v>14</v>
      </c>
      <c r="B41" s="2" t="s">
        <v>38</v>
      </c>
      <c r="C41" s="3">
        <v>91</v>
      </c>
      <c r="D41" s="3"/>
      <c r="E41" s="3">
        <v>1</v>
      </c>
      <c r="F41" s="3">
        <f t="shared" si="0"/>
        <v>90</v>
      </c>
      <c r="G41" s="3">
        <v>161</v>
      </c>
      <c r="H41" s="3">
        <f t="shared" si="3"/>
        <v>-71</v>
      </c>
      <c r="I41" s="21">
        <f t="shared" si="4"/>
        <v>11.929539295392953</v>
      </c>
    </row>
    <row r="42" spans="1:9" ht="13.5">
      <c r="A42" s="1">
        <v>15</v>
      </c>
      <c r="B42" s="2" t="s">
        <v>39</v>
      </c>
      <c r="C42" s="3">
        <v>112</v>
      </c>
      <c r="D42" s="3">
        <v>1</v>
      </c>
      <c r="E42" s="3"/>
      <c r="F42" s="3">
        <f t="shared" si="0"/>
        <v>111</v>
      </c>
      <c r="G42" s="3">
        <v>111</v>
      </c>
      <c r="H42" s="3">
        <f t="shared" si="3"/>
        <v>0</v>
      </c>
      <c r="I42" s="21">
        <f t="shared" si="4"/>
        <v>0</v>
      </c>
    </row>
    <row r="43" spans="1:9" ht="13.5">
      <c r="A43" s="1">
        <v>16</v>
      </c>
      <c r="B43" s="2" t="s">
        <v>40</v>
      </c>
      <c r="C43" s="3">
        <v>386</v>
      </c>
      <c r="D43" s="3">
        <v>1</v>
      </c>
      <c r="E43" s="3">
        <v>7</v>
      </c>
      <c r="F43" s="3">
        <f t="shared" si="0"/>
        <v>378</v>
      </c>
      <c r="G43" s="3">
        <v>378</v>
      </c>
      <c r="H43" s="3">
        <f t="shared" si="3"/>
        <v>0</v>
      </c>
      <c r="I43" s="21">
        <f t="shared" si="4"/>
        <v>0</v>
      </c>
    </row>
    <row r="44" spans="1:9" ht="13.5">
      <c r="A44" s="1">
        <v>17</v>
      </c>
      <c r="B44" s="2" t="s">
        <v>41</v>
      </c>
      <c r="C44" s="3">
        <v>208</v>
      </c>
      <c r="D44" s="3"/>
      <c r="E44" s="3">
        <v>4</v>
      </c>
      <c r="F44" s="3">
        <f t="shared" si="0"/>
        <v>204</v>
      </c>
      <c r="G44" s="3">
        <v>204</v>
      </c>
      <c r="H44" s="3">
        <f t="shared" si="3"/>
        <v>0</v>
      </c>
      <c r="I44" s="21">
        <f t="shared" si="4"/>
        <v>0</v>
      </c>
    </row>
    <row r="45" spans="1:9" ht="13.5">
      <c r="A45" s="1">
        <v>18</v>
      </c>
      <c r="B45" s="2" t="s">
        <v>42</v>
      </c>
      <c r="C45" s="3">
        <v>1676</v>
      </c>
      <c r="D45" s="3">
        <v>17</v>
      </c>
      <c r="E45" s="3">
        <v>24</v>
      </c>
      <c r="F45" s="3">
        <f t="shared" si="0"/>
        <v>1635</v>
      </c>
      <c r="G45" s="3">
        <v>1635</v>
      </c>
      <c r="H45" s="3">
        <f t="shared" si="3"/>
        <v>0</v>
      </c>
      <c r="I45" s="21">
        <f t="shared" si="4"/>
        <v>0</v>
      </c>
    </row>
    <row r="46" spans="1:9" ht="13.5">
      <c r="A46" s="1">
        <v>19</v>
      </c>
      <c r="B46" s="2" t="s">
        <v>43</v>
      </c>
      <c r="C46" s="3">
        <v>312</v>
      </c>
      <c r="D46" s="3"/>
      <c r="E46" s="3">
        <v>4</v>
      </c>
      <c r="F46" s="3">
        <f t="shared" si="0"/>
        <v>308</v>
      </c>
      <c r="G46" s="3">
        <v>337</v>
      </c>
      <c r="H46" s="3">
        <f t="shared" si="3"/>
        <v>-29</v>
      </c>
      <c r="I46" s="21">
        <f t="shared" si="4"/>
        <v>4.872628726287263</v>
      </c>
    </row>
    <row r="47" spans="1:9" ht="13.5">
      <c r="A47" s="1">
        <v>20</v>
      </c>
      <c r="B47" s="2" t="s">
        <v>44</v>
      </c>
      <c r="C47" s="3">
        <v>458</v>
      </c>
      <c r="D47" s="3">
        <v>1</v>
      </c>
      <c r="E47" s="3">
        <v>5</v>
      </c>
      <c r="F47" s="3">
        <f t="shared" si="0"/>
        <v>452</v>
      </c>
      <c r="G47" s="3">
        <v>452</v>
      </c>
      <c r="H47" s="3">
        <f t="shared" si="3"/>
        <v>0</v>
      </c>
      <c r="I47" s="21">
        <f t="shared" si="4"/>
        <v>0</v>
      </c>
    </row>
    <row r="48" spans="1:9" ht="13.5">
      <c r="A48" s="14" t="s">
        <v>450</v>
      </c>
      <c r="B48" s="15" t="s">
        <v>45</v>
      </c>
      <c r="C48" s="16">
        <f>SUM(C49:C64)</f>
        <v>6058</v>
      </c>
      <c r="D48" s="16">
        <f>SUM(D49:D64)</f>
        <v>16</v>
      </c>
      <c r="E48" s="16">
        <f>SUM(E49:E64)</f>
        <v>53</v>
      </c>
      <c r="F48" s="16">
        <f t="shared" si="0"/>
        <v>5989</v>
      </c>
      <c r="G48" s="16">
        <f>SUM(G49:G64)</f>
        <v>6422</v>
      </c>
      <c r="H48" s="16">
        <f>SUM(H49:H64)</f>
        <v>-433</v>
      </c>
      <c r="I48" s="23">
        <f>H48/-16804*2819</f>
        <v>72.63907402999286</v>
      </c>
    </row>
    <row r="49" spans="1:9" ht="13.5">
      <c r="A49" s="1">
        <v>1</v>
      </c>
      <c r="B49" s="2" t="s">
        <v>46</v>
      </c>
      <c r="C49" s="3">
        <v>468</v>
      </c>
      <c r="D49" s="3"/>
      <c r="E49" s="3"/>
      <c r="F49" s="3">
        <f t="shared" si="0"/>
        <v>468</v>
      </c>
      <c r="G49" s="3">
        <v>567</v>
      </c>
      <c r="H49" s="3">
        <f aca="true" t="shared" si="5" ref="H49:H112">F49-G49</f>
        <v>-99</v>
      </c>
      <c r="I49" s="21">
        <f>H49/-433*73</f>
        <v>16.6905311778291</v>
      </c>
    </row>
    <row r="50" spans="1:9" ht="13.5">
      <c r="A50" s="1">
        <v>2</v>
      </c>
      <c r="B50" s="2" t="s">
        <v>47</v>
      </c>
      <c r="C50" s="3">
        <v>403</v>
      </c>
      <c r="D50" s="3">
        <v>1</v>
      </c>
      <c r="E50" s="3">
        <v>1</v>
      </c>
      <c r="F50" s="3">
        <f t="shared" si="0"/>
        <v>401</v>
      </c>
      <c r="G50" s="3">
        <v>443</v>
      </c>
      <c r="H50" s="3">
        <f t="shared" si="5"/>
        <v>-42</v>
      </c>
      <c r="I50" s="21">
        <f aca="true" t="shared" si="6" ref="I50:I64">H50/-433*73</f>
        <v>7.080831408775982</v>
      </c>
    </row>
    <row r="51" spans="1:9" ht="13.5">
      <c r="A51" s="1">
        <v>3</v>
      </c>
      <c r="B51" s="2" t="s">
        <v>48</v>
      </c>
      <c r="C51" s="3">
        <v>253</v>
      </c>
      <c r="D51" s="3"/>
      <c r="E51" s="3"/>
      <c r="F51" s="3">
        <f t="shared" si="0"/>
        <v>253</v>
      </c>
      <c r="G51" s="3">
        <v>305</v>
      </c>
      <c r="H51" s="3">
        <f t="shared" si="5"/>
        <v>-52</v>
      </c>
      <c r="I51" s="21">
        <f t="shared" si="6"/>
        <v>8.76674364896074</v>
      </c>
    </row>
    <row r="52" spans="1:9" ht="13.5">
      <c r="A52" s="1">
        <v>4</v>
      </c>
      <c r="B52" s="2" t="s">
        <v>49</v>
      </c>
      <c r="C52" s="3">
        <v>532</v>
      </c>
      <c r="D52" s="3">
        <v>1</v>
      </c>
      <c r="E52" s="3">
        <v>6</v>
      </c>
      <c r="F52" s="3">
        <f t="shared" si="0"/>
        <v>525</v>
      </c>
      <c r="G52" s="3">
        <v>547</v>
      </c>
      <c r="H52" s="3">
        <f t="shared" si="5"/>
        <v>-22</v>
      </c>
      <c r="I52" s="21">
        <f t="shared" si="6"/>
        <v>3.7090069284064664</v>
      </c>
    </row>
    <row r="53" spans="1:9" ht="13.5">
      <c r="A53" s="1">
        <v>5</v>
      </c>
      <c r="B53" s="2" t="s">
        <v>50</v>
      </c>
      <c r="C53" s="3">
        <v>587</v>
      </c>
      <c r="D53" s="3">
        <v>1</v>
      </c>
      <c r="E53" s="3">
        <v>5</v>
      </c>
      <c r="F53" s="3">
        <f t="shared" si="0"/>
        <v>581</v>
      </c>
      <c r="G53" s="3">
        <v>581</v>
      </c>
      <c r="H53" s="3">
        <f t="shared" si="5"/>
        <v>0</v>
      </c>
      <c r="I53" s="21">
        <f t="shared" si="6"/>
        <v>0</v>
      </c>
    </row>
    <row r="54" spans="1:9" ht="13.5">
      <c r="A54" s="1">
        <v>6</v>
      </c>
      <c r="B54" s="2" t="s">
        <v>51</v>
      </c>
      <c r="C54" s="3">
        <v>636</v>
      </c>
      <c r="D54" s="3"/>
      <c r="E54" s="3">
        <v>2</v>
      </c>
      <c r="F54" s="3">
        <f t="shared" si="0"/>
        <v>634</v>
      </c>
      <c r="G54" s="3">
        <v>638</v>
      </c>
      <c r="H54" s="3">
        <f t="shared" si="5"/>
        <v>-4</v>
      </c>
      <c r="I54" s="21">
        <f t="shared" si="6"/>
        <v>0.674364896073903</v>
      </c>
    </row>
    <row r="55" spans="1:9" ht="13.5">
      <c r="A55" s="1">
        <v>7</v>
      </c>
      <c r="B55" s="2" t="s">
        <v>52</v>
      </c>
      <c r="C55" s="3">
        <v>446</v>
      </c>
      <c r="D55" s="3"/>
      <c r="E55" s="3">
        <v>4</v>
      </c>
      <c r="F55" s="3">
        <f t="shared" si="0"/>
        <v>442</v>
      </c>
      <c r="G55" s="3">
        <v>442</v>
      </c>
      <c r="H55" s="3">
        <f t="shared" si="5"/>
        <v>0</v>
      </c>
      <c r="I55" s="21">
        <f t="shared" si="6"/>
        <v>0</v>
      </c>
    </row>
    <row r="56" spans="1:9" ht="13.5">
      <c r="A56" s="1">
        <v>8</v>
      </c>
      <c r="B56" s="2" t="s">
        <v>53</v>
      </c>
      <c r="C56" s="3">
        <v>380</v>
      </c>
      <c r="D56" s="3"/>
      <c r="E56" s="3">
        <v>1</v>
      </c>
      <c r="F56" s="3">
        <f t="shared" si="0"/>
        <v>379</v>
      </c>
      <c r="G56" s="3">
        <v>379</v>
      </c>
      <c r="H56" s="3">
        <f t="shared" si="5"/>
        <v>0</v>
      </c>
      <c r="I56" s="21">
        <f t="shared" si="6"/>
        <v>0</v>
      </c>
    </row>
    <row r="57" spans="1:9" ht="13.5">
      <c r="A57" s="1">
        <v>9</v>
      </c>
      <c r="B57" s="2" t="s">
        <v>54</v>
      </c>
      <c r="C57" s="3">
        <v>36</v>
      </c>
      <c r="D57" s="3"/>
      <c r="E57" s="3"/>
      <c r="F57" s="3">
        <f t="shared" si="0"/>
        <v>36</v>
      </c>
      <c r="G57" s="3">
        <v>36</v>
      </c>
      <c r="H57" s="3">
        <f t="shared" si="5"/>
        <v>0</v>
      </c>
      <c r="I57" s="21">
        <f t="shared" si="6"/>
        <v>0</v>
      </c>
    </row>
    <row r="58" spans="1:9" ht="13.5">
      <c r="A58" s="1">
        <v>10</v>
      </c>
      <c r="B58" s="2" t="s">
        <v>55</v>
      </c>
      <c r="C58" s="3">
        <f>1213+152</f>
        <v>1365</v>
      </c>
      <c r="D58" s="3">
        <v>9</v>
      </c>
      <c r="E58" s="3">
        <v>21</v>
      </c>
      <c r="F58" s="3">
        <f t="shared" si="0"/>
        <v>1335</v>
      </c>
      <c r="G58" s="3">
        <v>1520</v>
      </c>
      <c r="H58" s="3">
        <f t="shared" si="5"/>
        <v>-185</v>
      </c>
      <c r="I58" s="21">
        <f t="shared" si="6"/>
        <v>31.189376443418016</v>
      </c>
    </row>
    <row r="59" spans="1:9" ht="13.5">
      <c r="A59" s="1">
        <v>11</v>
      </c>
      <c r="B59" s="2" t="s">
        <v>56</v>
      </c>
      <c r="C59" s="3">
        <v>164</v>
      </c>
      <c r="D59" s="3"/>
      <c r="E59" s="3">
        <v>2</v>
      </c>
      <c r="F59" s="3">
        <f t="shared" si="0"/>
        <v>162</v>
      </c>
      <c r="G59" s="3">
        <v>162</v>
      </c>
      <c r="H59" s="3">
        <f t="shared" si="5"/>
        <v>0</v>
      </c>
      <c r="I59" s="21">
        <f t="shared" si="6"/>
        <v>0</v>
      </c>
    </row>
    <row r="60" spans="1:9" ht="13.5">
      <c r="A60" s="1">
        <v>12</v>
      </c>
      <c r="B60" s="2" t="s">
        <v>57</v>
      </c>
      <c r="C60" s="3">
        <v>68</v>
      </c>
      <c r="D60" s="3"/>
      <c r="E60" s="3">
        <v>3</v>
      </c>
      <c r="F60" s="3">
        <f t="shared" si="0"/>
        <v>65</v>
      </c>
      <c r="G60" s="3">
        <v>80</v>
      </c>
      <c r="H60" s="3">
        <f t="shared" si="5"/>
        <v>-15</v>
      </c>
      <c r="I60" s="21">
        <f t="shared" si="6"/>
        <v>2.5288683602771362</v>
      </c>
    </row>
    <row r="61" spans="1:9" ht="13.5">
      <c r="A61" s="1">
        <v>13</v>
      </c>
      <c r="B61" s="2" t="s">
        <v>58</v>
      </c>
      <c r="C61" s="3">
        <v>133</v>
      </c>
      <c r="D61" s="3"/>
      <c r="E61" s="3"/>
      <c r="F61" s="3">
        <f t="shared" si="0"/>
        <v>133</v>
      </c>
      <c r="G61" s="3">
        <v>133</v>
      </c>
      <c r="H61" s="3">
        <f t="shared" si="5"/>
        <v>0</v>
      </c>
      <c r="I61" s="21">
        <f t="shared" si="6"/>
        <v>0</v>
      </c>
    </row>
    <row r="62" spans="1:9" ht="13.5">
      <c r="A62" s="1">
        <v>14</v>
      </c>
      <c r="B62" s="2" t="s">
        <v>59</v>
      </c>
      <c r="C62" s="3">
        <v>213</v>
      </c>
      <c r="D62" s="3">
        <v>2</v>
      </c>
      <c r="E62" s="3">
        <v>2</v>
      </c>
      <c r="F62" s="3">
        <f t="shared" si="0"/>
        <v>209</v>
      </c>
      <c r="G62" s="3">
        <v>223</v>
      </c>
      <c r="H62" s="3">
        <f t="shared" si="5"/>
        <v>-14</v>
      </c>
      <c r="I62" s="21">
        <f t="shared" si="6"/>
        <v>2.3602771362586608</v>
      </c>
    </row>
    <row r="63" spans="1:9" ht="13.5">
      <c r="A63" s="1">
        <v>15</v>
      </c>
      <c r="B63" s="2" t="s">
        <v>60</v>
      </c>
      <c r="C63" s="3">
        <v>221</v>
      </c>
      <c r="D63" s="3">
        <v>2</v>
      </c>
      <c r="E63" s="3">
        <v>3</v>
      </c>
      <c r="F63" s="3">
        <f t="shared" si="0"/>
        <v>216</v>
      </c>
      <c r="G63" s="3">
        <v>216</v>
      </c>
      <c r="H63" s="3">
        <f t="shared" si="5"/>
        <v>0</v>
      </c>
      <c r="I63" s="21">
        <f t="shared" si="6"/>
        <v>0</v>
      </c>
    </row>
    <row r="64" spans="1:9" ht="13.5">
      <c r="A64" s="1">
        <v>16</v>
      </c>
      <c r="B64" s="2" t="s">
        <v>61</v>
      </c>
      <c r="C64" s="3">
        <v>153</v>
      </c>
      <c r="D64" s="3"/>
      <c r="E64" s="3">
        <v>3</v>
      </c>
      <c r="F64" s="3">
        <f t="shared" si="0"/>
        <v>150</v>
      </c>
      <c r="G64" s="3">
        <v>150</v>
      </c>
      <c r="H64" s="3">
        <f t="shared" si="5"/>
        <v>0</v>
      </c>
      <c r="I64" s="21">
        <f t="shared" si="6"/>
        <v>0</v>
      </c>
    </row>
    <row r="65" spans="1:9" ht="13.5">
      <c r="A65" s="14" t="s">
        <v>451</v>
      </c>
      <c r="B65" s="15" t="s">
        <v>62</v>
      </c>
      <c r="C65" s="16">
        <f>SUM(C66:C76)</f>
        <v>2623</v>
      </c>
      <c r="D65" s="16">
        <f>SUM(D66:D76)</f>
        <v>14</v>
      </c>
      <c r="E65" s="16">
        <f>SUM(E66:E76)</f>
        <v>16</v>
      </c>
      <c r="F65" s="16">
        <f t="shared" si="0"/>
        <v>2593</v>
      </c>
      <c r="G65" s="16">
        <f>SUM(G66:G76)</f>
        <v>3117</v>
      </c>
      <c r="H65" s="16">
        <f>SUM(H66:H76)</f>
        <v>-524</v>
      </c>
      <c r="I65" s="23">
        <f>H65/-16804*2819</f>
        <v>87.90502261366342</v>
      </c>
    </row>
    <row r="66" spans="1:9" ht="13.5">
      <c r="A66" s="1">
        <v>1</v>
      </c>
      <c r="B66" s="2" t="s">
        <v>63</v>
      </c>
      <c r="C66" s="3">
        <v>166</v>
      </c>
      <c r="D66" s="3">
        <v>2</v>
      </c>
      <c r="E66" s="3">
        <v>1</v>
      </c>
      <c r="F66" s="3">
        <f t="shared" si="0"/>
        <v>163</v>
      </c>
      <c r="G66" s="3">
        <v>486</v>
      </c>
      <c r="H66" s="3">
        <f t="shared" si="5"/>
        <v>-323</v>
      </c>
      <c r="I66" s="21">
        <f>H66/-524*88</f>
        <v>54.24427480916031</v>
      </c>
    </row>
    <row r="67" spans="1:9" ht="13.5">
      <c r="A67" s="1">
        <v>2</v>
      </c>
      <c r="B67" s="2" t="s">
        <v>64</v>
      </c>
      <c r="C67" s="3">
        <v>185</v>
      </c>
      <c r="D67" s="3">
        <v>1</v>
      </c>
      <c r="E67" s="3"/>
      <c r="F67" s="3">
        <f t="shared" si="0"/>
        <v>184</v>
      </c>
      <c r="G67" s="3">
        <v>266</v>
      </c>
      <c r="H67" s="3">
        <f t="shared" si="5"/>
        <v>-82</v>
      </c>
      <c r="I67" s="21">
        <f aca="true" t="shared" si="7" ref="I67:I76">H67/-524*88</f>
        <v>13.770992366412214</v>
      </c>
    </row>
    <row r="68" spans="1:9" ht="13.5">
      <c r="A68" s="1">
        <v>3</v>
      </c>
      <c r="B68" s="2" t="s">
        <v>65</v>
      </c>
      <c r="C68" s="3">
        <v>317</v>
      </c>
      <c r="D68" s="3"/>
      <c r="E68" s="3"/>
      <c r="F68" s="3">
        <f t="shared" si="0"/>
        <v>317</v>
      </c>
      <c r="G68" s="3">
        <v>317</v>
      </c>
      <c r="H68" s="3">
        <f t="shared" si="5"/>
        <v>0</v>
      </c>
      <c r="I68" s="21">
        <f t="shared" si="7"/>
        <v>0</v>
      </c>
    </row>
    <row r="69" spans="1:9" ht="13.5">
      <c r="A69" s="1">
        <v>4</v>
      </c>
      <c r="B69" s="2" t="s">
        <v>66</v>
      </c>
      <c r="C69" s="3">
        <v>351</v>
      </c>
      <c r="D69" s="3"/>
      <c r="E69" s="3">
        <v>1</v>
      </c>
      <c r="F69" s="3">
        <f t="shared" si="0"/>
        <v>350</v>
      </c>
      <c r="G69" s="3">
        <v>350</v>
      </c>
      <c r="H69" s="3">
        <f t="shared" si="5"/>
        <v>0</v>
      </c>
      <c r="I69" s="21">
        <f t="shared" si="7"/>
        <v>0</v>
      </c>
    </row>
    <row r="70" spans="1:9" ht="13.5">
      <c r="A70" s="1">
        <v>5</v>
      </c>
      <c r="B70" s="2" t="s">
        <v>67</v>
      </c>
      <c r="C70" s="3">
        <v>69</v>
      </c>
      <c r="D70" s="3">
        <v>1</v>
      </c>
      <c r="E70" s="3">
        <v>1</v>
      </c>
      <c r="F70" s="3">
        <f t="shared" si="0"/>
        <v>67</v>
      </c>
      <c r="G70" s="3">
        <v>67</v>
      </c>
      <c r="H70" s="3">
        <f t="shared" si="5"/>
        <v>0</v>
      </c>
      <c r="I70" s="21">
        <f t="shared" si="7"/>
        <v>0</v>
      </c>
    </row>
    <row r="71" spans="1:9" ht="13.5">
      <c r="A71" s="1">
        <v>6</v>
      </c>
      <c r="B71" s="2" t="s">
        <v>68</v>
      </c>
      <c r="C71" s="3">
        <v>207</v>
      </c>
      <c r="D71" s="3">
        <v>1</v>
      </c>
      <c r="E71" s="3">
        <v>1</v>
      </c>
      <c r="F71" s="3">
        <f aca="true" t="shared" si="8" ref="F71:F134">C71-E71-D71</f>
        <v>205</v>
      </c>
      <c r="G71" s="3">
        <v>206</v>
      </c>
      <c r="H71" s="3">
        <f t="shared" si="5"/>
        <v>-1</v>
      </c>
      <c r="I71" s="21">
        <f t="shared" si="7"/>
        <v>0.16793893129770993</v>
      </c>
    </row>
    <row r="72" spans="1:9" ht="13.5">
      <c r="A72" s="1">
        <v>7</v>
      </c>
      <c r="B72" s="2" t="s">
        <v>69</v>
      </c>
      <c r="C72" s="3">
        <v>143</v>
      </c>
      <c r="D72" s="3"/>
      <c r="E72" s="3"/>
      <c r="F72" s="3">
        <f t="shared" si="8"/>
        <v>143</v>
      </c>
      <c r="G72" s="3">
        <v>143</v>
      </c>
      <c r="H72" s="3">
        <f t="shared" si="5"/>
        <v>0</v>
      </c>
      <c r="I72" s="21">
        <f t="shared" si="7"/>
        <v>0</v>
      </c>
    </row>
    <row r="73" spans="1:9" ht="13.5">
      <c r="A73" s="1">
        <v>8</v>
      </c>
      <c r="B73" s="2" t="s">
        <v>70</v>
      </c>
      <c r="C73" s="3">
        <v>102</v>
      </c>
      <c r="D73" s="3"/>
      <c r="E73" s="3"/>
      <c r="F73" s="3">
        <f t="shared" si="8"/>
        <v>102</v>
      </c>
      <c r="G73" s="3">
        <v>102</v>
      </c>
      <c r="H73" s="3">
        <f t="shared" si="5"/>
        <v>0</v>
      </c>
      <c r="I73" s="21">
        <f t="shared" si="7"/>
        <v>0</v>
      </c>
    </row>
    <row r="74" spans="1:9" ht="13.5">
      <c r="A74" s="1">
        <v>9</v>
      </c>
      <c r="B74" s="2" t="s">
        <v>71</v>
      </c>
      <c r="C74" s="3">
        <v>183</v>
      </c>
      <c r="D74" s="3">
        <v>1</v>
      </c>
      <c r="E74" s="3"/>
      <c r="F74" s="3">
        <f t="shared" si="8"/>
        <v>182</v>
      </c>
      <c r="G74" s="3">
        <v>259</v>
      </c>
      <c r="H74" s="3">
        <f t="shared" si="5"/>
        <v>-77</v>
      </c>
      <c r="I74" s="21">
        <f t="shared" si="7"/>
        <v>12.931297709923664</v>
      </c>
    </row>
    <row r="75" spans="1:9" ht="13.5">
      <c r="A75" s="1">
        <v>10</v>
      </c>
      <c r="B75" s="2" t="s">
        <v>72</v>
      </c>
      <c r="C75" s="3">
        <v>750</v>
      </c>
      <c r="D75" s="3">
        <v>7</v>
      </c>
      <c r="E75" s="3">
        <v>12</v>
      </c>
      <c r="F75" s="3">
        <f t="shared" si="8"/>
        <v>731</v>
      </c>
      <c r="G75" s="3">
        <v>772</v>
      </c>
      <c r="H75" s="3">
        <f t="shared" si="5"/>
        <v>-41</v>
      </c>
      <c r="I75" s="21">
        <f t="shared" si="7"/>
        <v>6.885496183206107</v>
      </c>
    </row>
    <row r="76" spans="1:9" ht="13.5">
      <c r="A76" s="1">
        <v>11</v>
      </c>
      <c r="B76" s="2" t="s">
        <v>73</v>
      </c>
      <c r="C76" s="3">
        <v>150</v>
      </c>
      <c r="D76" s="3">
        <v>1</v>
      </c>
      <c r="E76" s="3"/>
      <c r="F76" s="3">
        <f t="shared" si="8"/>
        <v>149</v>
      </c>
      <c r="G76" s="3">
        <v>149</v>
      </c>
      <c r="H76" s="3">
        <f t="shared" si="5"/>
        <v>0</v>
      </c>
      <c r="I76" s="21">
        <f t="shared" si="7"/>
        <v>0</v>
      </c>
    </row>
    <row r="77" spans="1:9" ht="13.5">
      <c r="A77" s="14" t="s">
        <v>452</v>
      </c>
      <c r="B77" s="15" t="s">
        <v>74</v>
      </c>
      <c r="C77" s="16">
        <f>SUM(C78:C87)</f>
        <v>1735</v>
      </c>
      <c r="D77" s="16">
        <f>SUM(D78:D87)</f>
        <v>8</v>
      </c>
      <c r="E77" s="16">
        <f>SUM(E78:E87)</f>
        <v>8</v>
      </c>
      <c r="F77" s="16">
        <f t="shared" si="8"/>
        <v>1719</v>
      </c>
      <c r="G77" s="16">
        <f>SUM(G78:G87)</f>
        <v>2120</v>
      </c>
      <c r="H77" s="16">
        <f>SUM(H78:H87)</f>
        <v>-401</v>
      </c>
      <c r="I77" s="23">
        <f>H77/-16804*2819</f>
        <v>67.27082837419661</v>
      </c>
    </row>
    <row r="78" spans="1:9" ht="13.5">
      <c r="A78" s="1">
        <v>1</v>
      </c>
      <c r="B78" s="2" t="s">
        <v>75</v>
      </c>
      <c r="C78" s="3">
        <v>352</v>
      </c>
      <c r="D78" s="3">
        <v>3</v>
      </c>
      <c r="E78" s="3">
        <v>3</v>
      </c>
      <c r="F78" s="3">
        <f t="shared" si="8"/>
        <v>346</v>
      </c>
      <c r="G78" s="3">
        <v>397</v>
      </c>
      <c r="H78" s="3">
        <f t="shared" si="5"/>
        <v>-51</v>
      </c>
      <c r="I78" s="21">
        <f>H78/-401*67</f>
        <v>8.521197007481296</v>
      </c>
    </row>
    <row r="79" spans="1:9" ht="13.5">
      <c r="A79" s="1">
        <v>2</v>
      </c>
      <c r="B79" s="2" t="s">
        <v>76</v>
      </c>
      <c r="C79" s="3">
        <v>184</v>
      </c>
      <c r="D79" s="3"/>
      <c r="E79" s="3"/>
      <c r="F79" s="3">
        <f t="shared" si="8"/>
        <v>184</v>
      </c>
      <c r="G79" s="3">
        <v>285</v>
      </c>
      <c r="H79" s="3">
        <f t="shared" si="5"/>
        <v>-101</v>
      </c>
      <c r="I79" s="21">
        <f aca="true" t="shared" si="9" ref="I79:I87">H79/-401*67</f>
        <v>16.875311720698257</v>
      </c>
    </row>
    <row r="80" spans="1:9" ht="13.5">
      <c r="A80" s="1">
        <v>3</v>
      </c>
      <c r="B80" s="2" t="s">
        <v>77</v>
      </c>
      <c r="C80" s="3">
        <v>51</v>
      </c>
      <c r="D80" s="3"/>
      <c r="E80" s="3">
        <v>1</v>
      </c>
      <c r="F80" s="3">
        <f t="shared" si="8"/>
        <v>50</v>
      </c>
      <c r="G80" s="3">
        <v>223</v>
      </c>
      <c r="H80" s="3">
        <f t="shared" si="5"/>
        <v>-173</v>
      </c>
      <c r="I80" s="21">
        <f t="shared" si="9"/>
        <v>28.90523690773067</v>
      </c>
    </row>
    <row r="81" spans="1:9" ht="13.5">
      <c r="A81" s="1">
        <v>4</v>
      </c>
      <c r="B81" s="2" t="s">
        <v>78</v>
      </c>
      <c r="C81" s="3">
        <v>105</v>
      </c>
      <c r="D81" s="3"/>
      <c r="E81" s="3"/>
      <c r="F81" s="3">
        <f t="shared" si="8"/>
        <v>105</v>
      </c>
      <c r="G81" s="3">
        <v>113</v>
      </c>
      <c r="H81" s="3">
        <f t="shared" si="5"/>
        <v>-8</v>
      </c>
      <c r="I81" s="21">
        <f t="shared" si="9"/>
        <v>1.3366583541147132</v>
      </c>
    </row>
    <row r="82" spans="1:9" ht="13.5">
      <c r="A82" s="1">
        <v>5</v>
      </c>
      <c r="B82" s="2" t="s">
        <v>79</v>
      </c>
      <c r="C82" s="3">
        <v>113</v>
      </c>
      <c r="D82" s="3">
        <v>1</v>
      </c>
      <c r="E82" s="3"/>
      <c r="F82" s="3">
        <f t="shared" si="8"/>
        <v>112</v>
      </c>
      <c r="G82" s="3">
        <v>112</v>
      </c>
      <c r="H82" s="3">
        <f t="shared" si="5"/>
        <v>0</v>
      </c>
      <c r="I82" s="21">
        <f t="shared" si="9"/>
        <v>0</v>
      </c>
    </row>
    <row r="83" spans="1:9" ht="13.5">
      <c r="A83" s="1">
        <v>6</v>
      </c>
      <c r="B83" s="2" t="s">
        <v>80</v>
      </c>
      <c r="C83" s="3">
        <v>131</v>
      </c>
      <c r="D83" s="3"/>
      <c r="E83" s="3"/>
      <c r="F83" s="3">
        <f t="shared" si="8"/>
        <v>131</v>
      </c>
      <c r="G83" s="3">
        <v>131</v>
      </c>
      <c r="H83" s="3">
        <f t="shared" si="5"/>
        <v>0</v>
      </c>
      <c r="I83" s="21">
        <f t="shared" si="9"/>
        <v>0</v>
      </c>
    </row>
    <row r="84" spans="1:9" ht="13.5">
      <c r="A84" s="1">
        <v>7</v>
      </c>
      <c r="B84" s="2" t="s">
        <v>81</v>
      </c>
      <c r="C84" s="3">
        <v>63</v>
      </c>
      <c r="D84" s="3"/>
      <c r="E84" s="3"/>
      <c r="F84" s="3">
        <f t="shared" si="8"/>
        <v>63</v>
      </c>
      <c r="G84" s="3">
        <v>131</v>
      </c>
      <c r="H84" s="3">
        <f t="shared" si="5"/>
        <v>-68</v>
      </c>
      <c r="I84" s="21">
        <f t="shared" si="9"/>
        <v>11.361596009975063</v>
      </c>
    </row>
    <row r="85" spans="1:9" ht="13.5">
      <c r="A85" s="1">
        <v>8</v>
      </c>
      <c r="B85" s="2" t="s">
        <v>82</v>
      </c>
      <c r="C85" s="3">
        <v>55</v>
      </c>
      <c r="D85" s="3">
        <v>1</v>
      </c>
      <c r="E85" s="3"/>
      <c r="F85" s="3">
        <f t="shared" si="8"/>
        <v>54</v>
      </c>
      <c r="G85" s="3">
        <v>54</v>
      </c>
      <c r="H85" s="3">
        <f t="shared" si="5"/>
        <v>0</v>
      </c>
      <c r="I85" s="21">
        <f t="shared" si="9"/>
        <v>0</v>
      </c>
    </row>
    <row r="86" spans="1:9" ht="13.5">
      <c r="A86" s="1">
        <v>9</v>
      </c>
      <c r="B86" s="2" t="s">
        <v>83</v>
      </c>
      <c r="C86" s="3">
        <v>111</v>
      </c>
      <c r="D86" s="3"/>
      <c r="E86" s="3">
        <v>1</v>
      </c>
      <c r="F86" s="3">
        <f t="shared" si="8"/>
        <v>110</v>
      </c>
      <c r="G86" s="3">
        <v>110</v>
      </c>
      <c r="H86" s="3">
        <f t="shared" si="5"/>
        <v>0</v>
      </c>
      <c r="I86" s="21">
        <f t="shared" si="9"/>
        <v>0</v>
      </c>
    </row>
    <row r="87" spans="1:9" ht="13.5">
      <c r="A87" s="1">
        <v>10</v>
      </c>
      <c r="B87" s="2" t="s">
        <v>84</v>
      </c>
      <c r="C87" s="3">
        <v>570</v>
      </c>
      <c r="D87" s="3">
        <v>3</v>
      </c>
      <c r="E87" s="3">
        <v>3</v>
      </c>
      <c r="F87" s="3">
        <f t="shared" si="8"/>
        <v>564</v>
      </c>
      <c r="G87" s="3">
        <v>564</v>
      </c>
      <c r="H87" s="3">
        <f t="shared" si="5"/>
        <v>0</v>
      </c>
      <c r="I87" s="21">
        <f t="shared" si="9"/>
        <v>0</v>
      </c>
    </row>
    <row r="88" spans="1:9" ht="13.5">
      <c r="A88" s="14" t="s">
        <v>453</v>
      </c>
      <c r="B88" s="15" t="s">
        <v>85</v>
      </c>
      <c r="C88" s="16">
        <f>SUM(C89:C99)</f>
        <v>2699</v>
      </c>
      <c r="D88" s="16">
        <f>SUM(D89:D99)</f>
        <v>9</v>
      </c>
      <c r="E88" s="16">
        <f>SUM(E89:E99)</f>
        <v>16</v>
      </c>
      <c r="F88" s="16">
        <f t="shared" si="8"/>
        <v>2674</v>
      </c>
      <c r="G88" s="16">
        <f>SUM(G89:G99)</f>
        <v>3309</v>
      </c>
      <c r="H88" s="16">
        <f>SUM(H89:H99)</f>
        <v>-635</v>
      </c>
      <c r="I88" s="23">
        <f>H88/-16804*2819</f>
        <v>106.52612473220661</v>
      </c>
    </row>
    <row r="89" spans="1:9" ht="13.5">
      <c r="A89" s="1">
        <v>1</v>
      </c>
      <c r="B89" s="2" t="s">
        <v>86</v>
      </c>
      <c r="C89" s="3">
        <v>328</v>
      </c>
      <c r="D89" s="3">
        <v>1</v>
      </c>
      <c r="E89" s="3">
        <v>4</v>
      </c>
      <c r="F89" s="3">
        <f t="shared" si="8"/>
        <v>323</v>
      </c>
      <c r="G89" s="3">
        <v>323</v>
      </c>
      <c r="H89" s="3">
        <f t="shared" si="5"/>
        <v>0</v>
      </c>
      <c r="I89" s="21">
        <f>H89/-635*107</f>
        <v>0</v>
      </c>
    </row>
    <row r="90" spans="1:9" ht="13.5">
      <c r="A90" s="1">
        <v>2</v>
      </c>
      <c r="B90" s="2" t="s">
        <v>87</v>
      </c>
      <c r="C90" s="3">
        <v>271</v>
      </c>
      <c r="D90" s="3">
        <v>1</v>
      </c>
      <c r="E90" s="3"/>
      <c r="F90" s="3">
        <f t="shared" si="8"/>
        <v>270</v>
      </c>
      <c r="G90" s="3">
        <v>431</v>
      </c>
      <c r="H90" s="3">
        <f t="shared" si="5"/>
        <v>-161</v>
      </c>
      <c r="I90" s="21">
        <f aca="true" t="shared" si="10" ref="I90:I99">H90/-635*107</f>
        <v>27.129133858267714</v>
      </c>
    </row>
    <row r="91" spans="1:9" ht="13.5">
      <c r="A91" s="1">
        <v>3</v>
      </c>
      <c r="B91" s="2" t="s">
        <v>88</v>
      </c>
      <c r="C91" s="3">
        <v>193</v>
      </c>
      <c r="D91" s="3"/>
      <c r="E91" s="3">
        <v>1</v>
      </c>
      <c r="F91" s="3">
        <f t="shared" si="8"/>
        <v>192</v>
      </c>
      <c r="G91" s="3">
        <v>266</v>
      </c>
      <c r="H91" s="3">
        <f t="shared" si="5"/>
        <v>-74</v>
      </c>
      <c r="I91" s="21">
        <f t="shared" si="10"/>
        <v>12.469291338582677</v>
      </c>
    </row>
    <row r="92" spans="1:9" ht="13.5">
      <c r="A92" s="1">
        <v>4</v>
      </c>
      <c r="B92" s="2" t="s">
        <v>89</v>
      </c>
      <c r="C92" s="3">
        <v>264</v>
      </c>
      <c r="D92" s="3">
        <v>2</v>
      </c>
      <c r="E92" s="3">
        <v>1</v>
      </c>
      <c r="F92" s="3">
        <f t="shared" si="8"/>
        <v>261</v>
      </c>
      <c r="G92" s="3">
        <v>437</v>
      </c>
      <c r="H92" s="3">
        <f t="shared" si="5"/>
        <v>-176</v>
      </c>
      <c r="I92" s="21">
        <f t="shared" si="10"/>
        <v>29.656692913385825</v>
      </c>
    </row>
    <row r="93" spans="1:9" ht="13.5">
      <c r="A93" s="1">
        <v>5</v>
      </c>
      <c r="B93" s="2" t="s">
        <v>90</v>
      </c>
      <c r="C93" s="3">
        <v>133</v>
      </c>
      <c r="D93" s="3"/>
      <c r="E93" s="3"/>
      <c r="F93" s="3">
        <f t="shared" si="8"/>
        <v>133</v>
      </c>
      <c r="G93" s="3">
        <v>162</v>
      </c>
      <c r="H93" s="3">
        <f t="shared" si="5"/>
        <v>-29</v>
      </c>
      <c r="I93" s="21">
        <f t="shared" si="10"/>
        <v>4.886614173228346</v>
      </c>
    </row>
    <row r="94" spans="1:9" ht="13.5">
      <c r="A94" s="1">
        <v>6</v>
      </c>
      <c r="B94" s="2" t="s">
        <v>91</v>
      </c>
      <c r="C94" s="3">
        <v>107</v>
      </c>
      <c r="D94" s="3"/>
      <c r="E94" s="3"/>
      <c r="F94" s="3">
        <f t="shared" si="8"/>
        <v>107</v>
      </c>
      <c r="G94" s="3">
        <v>302</v>
      </c>
      <c r="H94" s="3">
        <f t="shared" si="5"/>
        <v>-195</v>
      </c>
      <c r="I94" s="21">
        <f t="shared" si="10"/>
        <v>32.85826771653544</v>
      </c>
    </row>
    <row r="95" spans="1:9" ht="13.5">
      <c r="A95" s="1">
        <v>7</v>
      </c>
      <c r="B95" s="2" t="s">
        <v>92</v>
      </c>
      <c r="C95" s="3">
        <v>171</v>
      </c>
      <c r="D95" s="3"/>
      <c r="E95" s="3"/>
      <c r="F95" s="3">
        <f t="shared" si="8"/>
        <v>171</v>
      </c>
      <c r="G95" s="3">
        <v>171</v>
      </c>
      <c r="H95" s="3">
        <f t="shared" si="5"/>
        <v>0</v>
      </c>
      <c r="I95" s="21">
        <f t="shared" si="10"/>
        <v>0</v>
      </c>
    </row>
    <row r="96" spans="1:9" ht="13.5">
      <c r="A96" s="1">
        <v>8</v>
      </c>
      <c r="B96" s="2" t="s">
        <v>93</v>
      </c>
      <c r="C96" s="3">
        <v>994</v>
      </c>
      <c r="D96" s="3">
        <v>5</v>
      </c>
      <c r="E96" s="3">
        <v>9</v>
      </c>
      <c r="F96" s="3">
        <f t="shared" si="8"/>
        <v>980</v>
      </c>
      <c r="G96" s="3">
        <v>980</v>
      </c>
      <c r="H96" s="3">
        <f t="shared" si="5"/>
        <v>0</v>
      </c>
      <c r="I96" s="21">
        <f t="shared" si="10"/>
        <v>0</v>
      </c>
    </row>
    <row r="97" spans="1:9" ht="13.5">
      <c r="A97" s="1">
        <v>9</v>
      </c>
      <c r="B97" s="2" t="s">
        <v>94</v>
      </c>
      <c r="C97" s="3">
        <v>78</v>
      </c>
      <c r="D97" s="3"/>
      <c r="E97" s="3"/>
      <c r="F97" s="3">
        <f t="shared" si="8"/>
        <v>78</v>
      </c>
      <c r="G97" s="3">
        <v>78</v>
      </c>
      <c r="H97" s="3">
        <f t="shared" si="5"/>
        <v>0</v>
      </c>
      <c r="I97" s="21">
        <f t="shared" si="10"/>
        <v>0</v>
      </c>
    </row>
    <row r="98" spans="1:9" ht="13.5">
      <c r="A98" s="1">
        <v>10</v>
      </c>
      <c r="B98" s="2" t="s">
        <v>95</v>
      </c>
      <c r="C98" s="3">
        <v>90</v>
      </c>
      <c r="D98" s="3"/>
      <c r="E98" s="3">
        <v>1</v>
      </c>
      <c r="F98" s="3">
        <f t="shared" si="8"/>
        <v>89</v>
      </c>
      <c r="G98" s="3">
        <v>89</v>
      </c>
      <c r="H98" s="3">
        <f t="shared" si="5"/>
        <v>0</v>
      </c>
      <c r="I98" s="21">
        <f t="shared" si="10"/>
        <v>0</v>
      </c>
    </row>
    <row r="99" spans="1:9" ht="13.5">
      <c r="A99" s="1">
        <v>11</v>
      </c>
      <c r="B99" s="2" t="s">
        <v>96</v>
      </c>
      <c r="C99" s="3">
        <v>70</v>
      </c>
      <c r="D99" s="3"/>
      <c r="E99" s="3"/>
      <c r="F99" s="3">
        <f t="shared" si="8"/>
        <v>70</v>
      </c>
      <c r="G99" s="3">
        <v>70</v>
      </c>
      <c r="H99" s="3">
        <f t="shared" si="5"/>
        <v>0</v>
      </c>
      <c r="I99" s="21">
        <f t="shared" si="10"/>
        <v>0</v>
      </c>
    </row>
    <row r="100" spans="1:9" ht="13.5">
      <c r="A100" s="14" t="s">
        <v>454</v>
      </c>
      <c r="B100" s="15" t="s">
        <v>97</v>
      </c>
      <c r="C100" s="16">
        <f>SUM(C101:C107)</f>
        <v>1293</v>
      </c>
      <c r="D100" s="16">
        <f>SUM(D101:D107)</f>
        <v>5</v>
      </c>
      <c r="E100" s="16">
        <f>SUM(E101:E107)</f>
        <v>6</v>
      </c>
      <c r="F100" s="16">
        <f t="shared" si="8"/>
        <v>1282</v>
      </c>
      <c r="G100" s="16">
        <f>SUM(G101:G107)</f>
        <v>1440</v>
      </c>
      <c r="H100" s="16">
        <f>SUM(H101:H107)</f>
        <v>-158</v>
      </c>
      <c r="I100" s="23">
        <f>H100/-16804*2819</f>
        <v>26.50571292549393</v>
      </c>
    </row>
    <row r="101" spans="1:9" ht="13.5">
      <c r="A101" s="1">
        <v>1</v>
      </c>
      <c r="B101" s="2" t="s">
        <v>98</v>
      </c>
      <c r="C101" s="3">
        <v>287</v>
      </c>
      <c r="D101" s="3">
        <v>3</v>
      </c>
      <c r="E101" s="3"/>
      <c r="F101" s="3">
        <f t="shared" si="8"/>
        <v>284</v>
      </c>
      <c r="G101" s="3">
        <v>363</v>
      </c>
      <c r="H101" s="3">
        <f t="shared" si="5"/>
        <v>-79</v>
      </c>
      <c r="I101" s="21">
        <f>H101/-158*27</f>
        <v>13.5</v>
      </c>
    </row>
    <row r="102" spans="1:9" ht="13.5">
      <c r="A102" s="1">
        <v>2</v>
      </c>
      <c r="B102" s="2" t="s">
        <v>99</v>
      </c>
      <c r="C102" s="3">
        <v>314</v>
      </c>
      <c r="D102" s="3">
        <v>1</v>
      </c>
      <c r="E102" s="3">
        <v>2</v>
      </c>
      <c r="F102" s="3">
        <f t="shared" si="8"/>
        <v>311</v>
      </c>
      <c r="G102" s="3">
        <v>311</v>
      </c>
      <c r="H102" s="3">
        <f t="shared" si="5"/>
        <v>0</v>
      </c>
      <c r="I102" s="21">
        <f aca="true" t="shared" si="11" ref="I102:I107">H102/-158*27</f>
        <v>0</v>
      </c>
    </row>
    <row r="103" spans="1:9" ht="13.5">
      <c r="A103" s="1">
        <v>3</v>
      </c>
      <c r="B103" s="2" t="s">
        <v>100</v>
      </c>
      <c r="C103" s="3">
        <v>267</v>
      </c>
      <c r="D103" s="3">
        <v>1</v>
      </c>
      <c r="E103" s="3">
        <v>1</v>
      </c>
      <c r="F103" s="3">
        <f t="shared" si="8"/>
        <v>265</v>
      </c>
      <c r="G103" s="3">
        <v>344</v>
      </c>
      <c r="H103" s="3">
        <f t="shared" si="5"/>
        <v>-79</v>
      </c>
      <c r="I103" s="21">
        <f t="shared" si="11"/>
        <v>13.5</v>
      </c>
    </row>
    <row r="104" spans="1:9" ht="13.5">
      <c r="A104" s="1">
        <v>4</v>
      </c>
      <c r="B104" s="2" t="s">
        <v>101</v>
      </c>
      <c r="C104" s="3"/>
      <c r="D104" s="3"/>
      <c r="E104" s="3"/>
      <c r="F104" s="3"/>
      <c r="G104" s="3"/>
      <c r="H104" s="3">
        <f t="shared" si="5"/>
        <v>0</v>
      </c>
      <c r="I104" s="21">
        <f t="shared" si="11"/>
        <v>0</v>
      </c>
    </row>
    <row r="105" spans="1:9" ht="13.5">
      <c r="A105" s="1">
        <v>5</v>
      </c>
      <c r="B105" s="2" t="s">
        <v>102</v>
      </c>
      <c r="C105" s="3">
        <v>1</v>
      </c>
      <c r="D105" s="3"/>
      <c r="E105" s="3"/>
      <c r="F105" s="3">
        <f t="shared" si="8"/>
        <v>1</v>
      </c>
      <c r="G105" s="3">
        <v>1</v>
      </c>
      <c r="H105" s="3">
        <f t="shared" si="5"/>
        <v>0</v>
      </c>
      <c r="I105" s="21">
        <f t="shared" si="11"/>
        <v>0</v>
      </c>
    </row>
    <row r="106" spans="1:9" ht="13.5">
      <c r="A106" s="1">
        <v>6</v>
      </c>
      <c r="B106" s="2" t="s">
        <v>103</v>
      </c>
      <c r="C106" s="3"/>
      <c r="D106" s="3"/>
      <c r="E106" s="3"/>
      <c r="F106" s="3"/>
      <c r="G106" s="3"/>
      <c r="H106" s="3">
        <f t="shared" si="5"/>
        <v>0</v>
      </c>
      <c r="I106" s="21">
        <f t="shared" si="11"/>
        <v>0</v>
      </c>
    </row>
    <row r="107" spans="1:9" ht="13.5">
      <c r="A107" s="1">
        <v>7</v>
      </c>
      <c r="B107" s="2" t="s">
        <v>104</v>
      </c>
      <c r="C107" s="3">
        <v>424</v>
      </c>
      <c r="D107" s="3"/>
      <c r="E107" s="3">
        <v>3</v>
      </c>
      <c r="F107" s="3">
        <f t="shared" si="8"/>
        <v>421</v>
      </c>
      <c r="G107" s="3">
        <v>421</v>
      </c>
      <c r="H107" s="3">
        <f t="shared" si="5"/>
        <v>0</v>
      </c>
      <c r="I107" s="21">
        <f t="shared" si="11"/>
        <v>0</v>
      </c>
    </row>
    <row r="108" spans="1:9" ht="13.5">
      <c r="A108" s="14" t="s">
        <v>455</v>
      </c>
      <c r="B108" s="15" t="s">
        <v>105</v>
      </c>
      <c r="C108" s="16">
        <f>SUM(C109:C118)</f>
        <v>3251</v>
      </c>
      <c r="D108" s="16">
        <f>SUM(D109:D118)</f>
        <v>4</v>
      </c>
      <c r="E108" s="16">
        <f>SUM(E109:E118)</f>
        <v>19</v>
      </c>
      <c r="F108" s="16">
        <f t="shared" si="8"/>
        <v>3228</v>
      </c>
      <c r="G108" s="16">
        <f>SUM(G109:G118)</f>
        <v>4278</v>
      </c>
      <c r="H108" s="16">
        <f>SUM(H109:H118)</f>
        <v>-1050</v>
      </c>
      <c r="I108" s="23">
        <f>H108/-16804*2819</f>
        <v>176.14556058081408</v>
      </c>
    </row>
    <row r="109" spans="1:9" ht="13.5">
      <c r="A109" s="1">
        <v>1</v>
      </c>
      <c r="B109" s="2" t="s">
        <v>106</v>
      </c>
      <c r="C109" s="3">
        <v>447</v>
      </c>
      <c r="D109" s="3"/>
      <c r="E109" s="3"/>
      <c r="F109" s="3">
        <f t="shared" si="8"/>
        <v>447</v>
      </c>
      <c r="G109" s="3">
        <v>543</v>
      </c>
      <c r="H109" s="3">
        <f t="shared" si="5"/>
        <v>-96</v>
      </c>
      <c r="I109" s="21">
        <f>H109/-1050*176</f>
        <v>16.091428571428573</v>
      </c>
    </row>
    <row r="110" spans="1:9" ht="13.5">
      <c r="A110" s="1">
        <v>2</v>
      </c>
      <c r="B110" s="2" t="s">
        <v>107</v>
      </c>
      <c r="C110" s="3">
        <v>232</v>
      </c>
      <c r="D110" s="3"/>
      <c r="E110" s="3">
        <v>1</v>
      </c>
      <c r="F110" s="3">
        <f t="shared" si="8"/>
        <v>231</v>
      </c>
      <c r="G110" s="3">
        <v>596</v>
      </c>
      <c r="H110" s="3">
        <f t="shared" si="5"/>
        <v>-365</v>
      </c>
      <c r="I110" s="21">
        <f aca="true" t="shared" si="12" ref="I110:I118">H110/-1050*176</f>
        <v>61.18095238095238</v>
      </c>
    </row>
    <row r="111" spans="1:9" ht="13.5">
      <c r="A111" s="1">
        <v>3</v>
      </c>
      <c r="B111" s="2" t="s">
        <v>108</v>
      </c>
      <c r="C111" s="3">
        <v>308</v>
      </c>
      <c r="D111" s="3">
        <v>1</v>
      </c>
      <c r="E111" s="3">
        <v>3</v>
      </c>
      <c r="F111" s="3">
        <f t="shared" si="8"/>
        <v>304</v>
      </c>
      <c r="G111" s="3">
        <v>399</v>
      </c>
      <c r="H111" s="3">
        <f t="shared" si="5"/>
        <v>-95</v>
      </c>
      <c r="I111" s="21">
        <f t="shared" si="12"/>
        <v>15.923809523809524</v>
      </c>
    </row>
    <row r="112" spans="1:9" ht="13.5">
      <c r="A112" s="1">
        <v>4</v>
      </c>
      <c r="B112" s="2" t="s">
        <v>109</v>
      </c>
      <c r="C112" s="3">
        <v>103</v>
      </c>
      <c r="D112" s="3"/>
      <c r="E112" s="3"/>
      <c r="F112" s="3">
        <f t="shared" si="8"/>
        <v>103</v>
      </c>
      <c r="G112" s="3">
        <v>228</v>
      </c>
      <c r="H112" s="3">
        <f t="shared" si="5"/>
        <v>-125</v>
      </c>
      <c r="I112" s="21">
        <f t="shared" si="12"/>
        <v>20.952380952380953</v>
      </c>
    </row>
    <row r="113" spans="1:9" ht="13.5">
      <c r="A113" s="1">
        <v>5</v>
      </c>
      <c r="B113" s="2" t="s">
        <v>110</v>
      </c>
      <c r="C113" s="3">
        <v>583</v>
      </c>
      <c r="D113" s="3">
        <v>1</v>
      </c>
      <c r="E113" s="3">
        <v>4</v>
      </c>
      <c r="F113" s="3">
        <f t="shared" si="8"/>
        <v>578</v>
      </c>
      <c r="G113" s="3">
        <v>578</v>
      </c>
      <c r="H113" s="3">
        <f aca="true" t="shared" si="13" ref="H113:H118">F113-G113</f>
        <v>0</v>
      </c>
      <c r="I113" s="21">
        <f t="shared" si="12"/>
        <v>0</v>
      </c>
    </row>
    <row r="114" spans="1:9" ht="13.5">
      <c r="A114" s="1">
        <v>6</v>
      </c>
      <c r="B114" s="2" t="s">
        <v>111</v>
      </c>
      <c r="C114" s="3">
        <v>162</v>
      </c>
      <c r="D114" s="3"/>
      <c r="E114" s="3"/>
      <c r="F114" s="3">
        <f t="shared" si="8"/>
        <v>162</v>
      </c>
      <c r="G114" s="3">
        <v>355</v>
      </c>
      <c r="H114" s="3">
        <f t="shared" si="13"/>
        <v>-193</v>
      </c>
      <c r="I114" s="21">
        <f t="shared" si="12"/>
        <v>32.35047619047619</v>
      </c>
    </row>
    <row r="115" spans="1:9" ht="13.5">
      <c r="A115" s="1">
        <v>7</v>
      </c>
      <c r="B115" s="2" t="s">
        <v>112</v>
      </c>
      <c r="C115" s="3">
        <v>89</v>
      </c>
      <c r="D115" s="3"/>
      <c r="E115" s="3">
        <v>1</v>
      </c>
      <c r="F115" s="3">
        <f t="shared" si="8"/>
        <v>88</v>
      </c>
      <c r="G115" s="3">
        <v>98</v>
      </c>
      <c r="H115" s="3">
        <f t="shared" si="13"/>
        <v>-10</v>
      </c>
      <c r="I115" s="21">
        <f t="shared" si="12"/>
        <v>1.6761904761904765</v>
      </c>
    </row>
    <row r="116" spans="1:9" ht="13.5">
      <c r="A116" s="1">
        <v>8</v>
      </c>
      <c r="B116" s="2" t="s">
        <v>113</v>
      </c>
      <c r="C116" s="3">
        <v>248</v>
      </c>
      <c r="D116" s="3">
        <v>2</v>
      </c>
      <c r="E116" s="3"/>
      <c r="F116" s="3">
        <f t="shared" si="8"/>
        <v>246</v>
      </c>
      <c r="G116" s="3">
        <v>246</v>
      </c>
      <c r="H116" s="3">
        <f t="shared" si="13"/>
        <v>0</v>
      </c>
      <c r="I116" s="21">
        <f t="shared" si="12"/>
        <v>0</v>
      </c>
    </row>
    <row r="117" spans="1:9" ht="13.5">
      <c r="A117" s="1">
        <v>9</v>
      </c>
      <c r="B117" s="2" t="s">
        <v>114</v>
      </c>
      <c r="C117" s="3">
        <v>836</v>
      </c>
      <c r="D117" s="3"/>
      <c r="E117" s="3">
        <v>7</v>
      </c>
      <c r="F117" s="3">
        <f t="shared" si="8"/>
        <v>829</v>
      </c>
      <c r="G117" s="3">
        <v>995</v>
      </c>
      <c r="H117" s="3">
        <f t="shared" si="13"/>
        <v>-166</v>
      </c>
      <c r="I117" s="21">
        <f t="shared" si="12"/>
        <v>27.824761904761903</v>
      </c>
    </row>
    <row r="118" spans="1:9" ht="13.5">
      <c r="A118" s="1">
        <v>10</v>
      </c>
      <c r="B118" s="2" t="s">
        <v>115</v>
      </c>
      <c r="C118" s="3">
        <v>243</v>
      </c>
      <c r="D118" s="3"/>
      <c r="E118" s="3">
        <v>3</v>
      </c>
      <c r="F118" s="3">
        <f t="shared" si="8"/>
        <v>240</v>
      </c>
      <c r="G118" s="3">
        <v>240</v>
      </c>
      <c r="H118" s="3">
        <f t="shared" si="13"/>
        <v>0</v>
      </c>
      <c r="I118" s="21">
        <f t="shared" si="12"/>
        <v>0</v>
      </c>
    </row>
    <row r="119" spans="1:9" ht="13.5">
      <c r="A119" s="14" t="s">
        <v>456</v>
      </c>
      <c r="B119" s="15" t="s">
        <v>116</v>
      </c>
      <c r="C119" s="16">
        <f>SUM(C120:C126)</f>
        <v>333</v>
      </c>
      <c r="D119" s="16">
        <f>SUM(D120:D126)</f>
        <v>1</v>
      </c>
      <c r="E119" s="16">
        <f>SUM(E120:E126)</f>
        <v>0</v>
      </c>
      <c r="F119" s="16">
        <f t="shared" si="8"/>
        <v>332</v>
      </c>
      <c r="G119" s="16">
        <f>SUM(G120:G126)</f>
        <v>448</v>
      </c>
      <c r="H119" s="16">
        <f>SUM(H120:H126)</f>
        <v>-116</v>
      </c>
      <c r="I119" s="23">
        <f>H119/-16804*2819</f>
        <v>19.459890502261366</v>
      </c>
    </row>
    <row r="120" spans="1:9" ht="13.5">
      <c r="A120" s="1">
        <v>1</v>
      </c>
      <c r="B120" s="2" t="s">
        <v>117</v>
      </c>
      <c r="C120" s="3">
        <v>114</v>
      </c>
      <c r="D120" s="3"/>
      <c r="E120" s="3"/>
      <c r="F120" s="3">
        <f t="shared" si="8"/>
        <v>114</v>
      </c>
      <c r="G120" s="3">
        <v>182</v>
      </c>
      <c r="H120" s="3">
        <f aca="true" t="shared" si="14" ref="H120:H126">F120-G120</f>
        <v>-68</v>
      </c>
      <c r="I120" s="21">
        <f>H120/-116*19</f>
        <v>11.137931034482758</v>
      </c>
    </row>
    <row r="121" spans="1:9" ht="13.5">
      <c r="A121" s="1">
        <v>2</v>
      </c>
      <c r="B121" s="2" t="s">
        <v>118</v>
      </c>
      <c r="C121" s="3">
        <v>13</v>
      </c>
      <c r="D121" s="3"/>
      <c r="E121" s="3"/>
      <c r="F121" s="3">
        <f t="shared" si="8"/>
        <v>13</v>
      </c>
      <c r="G121" s="3">
        <v>13</v>
      </c>
      <c r="H121" s="3">
        <f t="shared" si="14"/>
        <v>0</v>
      </c>
      <c r="I121" s="21">
        <f aca="true" t="shared" si="15" ref="I121:I126">H121/-116*19</f>
        <v>0</v>
      </c>
    </row>
    <row r="122" spans="1:9" ht="13.5">
      <c r="A122" s="1">
        <v>3</v>
      </c>
      <c r="B122" s="2" t="s">
        <v>119</v>
      </c>
      <c r="C122" s="3">
        <v>4</v>
      </c>
      <c r="D122" s="3"/>
      <c r="E122" s="3"/>
      <c r="F122" s="3">
        <f t="shared" si="8"/>
        <v>4</v>
      </c>
      <c r="G122" s="3">
        <v>4</v>
      </c>
      <c r="H122" s="3">
        <f t="shared" si="14"/>
        <v>0</v>
      </c>
      <c r="I122" s="21">
        <f t="shared" si="15"/>
        <v>0</v>
      </c>
    </row>
    <row r="123" spans="1:9" ht="13.5">
      <c r="A123" s="1">
        <v>4</v>
      </c>
      <c r="B123" s="2" t="s">
        <v>120</v>
      </c>
      <c r="C123" s="3"/>
      <c r="D123" s="3"/>
      <c r="E123" s="3"/>
      <c r="F123" s="3">
        <f t="shared" si="8"/>
        <v>0</v>
      </c>
      <c r="G123" s="3"/>
      <c r="H123" s="3">
        <f t="shared" si="14"/>
        <v>0</v>
      </c>
      <c r="I123" s="21">
        <f t="shared" si="15"/>
        <v>0</v>
      </c>
    </row>
    <row r="124" spans="1:9" ht="13.5">
      <c r="A124" s="1">
        <v>5</v>
      </c>
      <c r="B124" s="2" t="s">
        <v>121</v>
      </c>
      <c r="C124" s="3">
        <v>106</v>
      </c>
      <c r="D124" s="3"/>
      <c r="E124" s="3"/>
      <c r="F124" s="3">
        <f t="shared" si="8"/>
        <v>106</v>
      </c>
      <c r="G124" s="3">
        <v>106</v>
      </c>
      <c r="H124" s="3">
        <f t="shared" si="14"/>
        <v>0</v>
      </c>
      <c r="I124" s="21">
        <f t="shared" si="15"/>
        <v>0</v>
      </c>
    </row>
    <row r="125" spans="1:9" ht="13.5">
      <c r="A125" s="1">
        <v>6</v>
      </c>
      <c r="B125" s="2" t="s">
        <v>122</v>
      </c>
      <c r="C125" s="3"/>
      <c r="D125" s="3"/>
      <c r="E125" s="3"/>
      <c r="F125" s="3"/>
      <c r="G125" s="3"/>
      <c r="H125" s="3">
        <f t="shared" si="14"/>
        <v>0</v>
      </c>
      <c r="I125" s="21">
        <f t="shared" si="15"/>
        <v>0</v>
      </c>
    </row>
    <row r="126" spans="1:9" ht="13.5">
      <c r="A126" s="1">
        <v>7</v>
      </c>
      <c r="B126" s="2" t="s">
        <v>123</v>
      </c>
      <c r="C126" s="3">
        <v>96</v>
      </c>
      <c r="D126" s="3">
        <v>1</v>
      </c>
      <c r="E126" s="3"/>
      <c r="F126" s="3">
        <f t="shared" si="8"/>
        <v>95</v>
      </c>
      <c r="G126" s="3">
        <v>143</v>
      </c>
      <c r="H126" s="3">
        <f t="shared" si="14"/>
        <v>-48</v>
      </c>
      <c r="I126" s="21">
        <f t="shared" si="15"/>
        <v>7.862068965517241</v>
      </c>
    </row>
    <row r="127" spans="1:9" ht="13.5">
      <c r="A127" s="14" t="s">
        <v>457</v>
      </c>
      <c r="B127" s="15" t="s">
        <v>124</v>
      </c>
      <c r="C127" s="16">
        <f>SUM(C128:C132)</f>
        <v>532</v>
      </c>
      <c r="D127" s="16">
        <f>SUM(D128:D132)</f>
        <v>2</v>
      </c>
      <c r="E127" s="16">
        <f>SUM(E128:E132)</f>
        <v>5</v>
      </c>
      <c r="F127" s="16">
        <f t="shared" si="8"/>
        <v>525</v>
      </c>
      <c r="G127" s="16">
        <f>SUM(G128:G132)</f>
        <v>935</v>
      </c>
      <c r="H127" s="16">
        <f>SUM(H128:H132)</f>
        <v>-410</v>
      </c>
      <c r="I127" s="23">
        <f>H127/-16804*2819</f>
        <v>68.78064746488931</v>
      </c>
    </row>
    <row r="128" spans="1:9" ht="13.5">
      <c r="A128" s="1">
        <v>1</v>
      </c>
      <c r="B128" s="2" t="s">
        <v>125</v>
      </c>
      <c r="C128" s="3">
        <v>95</v>
      </c>
      <c r="D128" s="3"/>
      <c r="E128" s="3"/>
      <c r="F128" s="3">
        <f t="shared" si="8"/>
        <v>95</v>
      </c>
      <c r="G128" s="3">
        <v>396</v>
      </c>
      <c r="H128" s="3">
        <f aca="true" t="shared" si="16" ref="H128:H133">F128-G128</f>
        <v>-301</v>
      </c>
      <c r="I128" s="21">
        <f>H128/-410*69</f>
        <v>50.65609756097561</v>
      </c>
    </row>
    <row r="129" spans="1:9" ht="13.5">
      <c r="A129" s="1">
        <v>2</v>
      </c>
      <c r="B129" s="2" t="s">
        <v>126</v>
      </c>
      <c r="C129" s="3">
        <v>124</v>
      </c>
      <c r="D129" s="3"/>
      <c r="E129" s="3">
        <v>1</v>
      </c>
      <c r="F129" s="3">
        <f t="shared" si="8"/>
        <v>123</v>
      </c>
      <c r="G129" s="3">
        <v>210</v>
      </c>
      <c r="H129" s="3">
        <f t="shared" si="16"/>
        <v>-87</v>
      </c>
      <c r="I129" s="21">
        <f>H129/-410*69</f>
        <v>14.641463414634146</v>
      </c>
    </row>
    <row r="130" spans="1:9" ht="13.5">
      <c r="A130" s="1">
        <v>3</v>
      </c>
      <c r="B130" s="2" t="s">
        <v>127</v>
      </c>
      <c r="C130" s="3">
        <v>41</v>
      </c>
      <c r="D130" s="3"/>
      <c r="E130" s="3">
        <v>1</v>
      </c>
      <c r="F130" s="3">
        <f t="shared" si="8"/>
        <v>40</v>
      </c>
      <c r="G130" s="3">
        <v>62</v>
      </c>
      <c r="H130" s="3">
        <f t="shared" si="16"/>
        <v>-22</v>
      </c>
      <c r="I130" s="21">
        <f>H130/-410*69</f>
        <v>3.7024390243902436</v>
      </c>
    </row>
    <row r="131" spans="1:9" ht="13.5">
      <c r="A131" s="1">
        <v>4</v>
      </c>
      <c r="B131" s="2" t="s">
        <v>128</v>
      </c>
      <c r="C131" s="3">
        <v>92</v>
      </c>
      <c r="D131" s="3"/>
      <c r="E131" s="3"/>
      <c r="F131" s="3">
        <f t="shared" si="8"/>
        <v>92</v>
      </c>
      <c r="G131" s="3">
        <v>92</v>
      </c>
      <c r="H131" s="3">
        <f t="shared" si="16"/>
        <v>0</v>
      </c>
      <c r="I131" s="21">
        <f>H131/-410*69</f>
        <v>0</v>
      </c>
    </row>
    <row r="132" spans="1:9" ht="13.5">
      <c r="A132" s="1">
        <v>5</v>
      </c>
      <c r="B132" s="2" t="s">
        <v>129</v>
      </c>
      <c r="C132" s="3">
        <v>180</v>
      </c>
      <c r="D132" s="3">
        <v>2</v>
      </c>
      <c r="E132" s="3">
        <v>3</v>
      </c>
      <c r="F132" s="3">
        <f t="shared" si="8"/>
        <v>175</v>
      </c>
      <c r="G132" s="3">
        <v>175</v>
      </c>
      <c r="H132" s="3">
        <f t="shared" si="16"/>
        <v>0</v>
      </c>
      <c r="I132" s="21">
        <f>H132/-410*69</f>
        <v>0</v>
      </c>
    </row>
    <row r="133" spans="1:9" ht="13.5">
      <c r="A133" s="14" t="s">
        <v>458</v>
      </c>
      <c r="B133" s="15" t="s">
        <v>130</v>
      </c>
      <c r="C133" s="16">
        <v>5483</v>
      </c>
      <c r="D133" s="16">
        <v>41</v>
      </c>
      <c r="E133" s="16">
        <v>86</v>
      </c>
      <c r="F133" s="16">
        <f t="shared" si="8"/>
        <v>5356</v>
      </c>
      <c r="G133" s="16">
        <v>6847</v>
      </c>
      <c r="H133" s="16">
        <f t="shared" si="16"/>
        <v>-1491</v>
      </c>
      <c r="I133" s="23">
        <f>H133/-16804*2819</f>
        <v>250.12669602475603</v>
      </c>
    </row>
    <row r="134" spans="1:9" ht="13.5">
      <c r="A134" s="14" t="s">
        <v>459</v>
      </c>
      <c r="B134" s="15" t="s">
        <v>131</v>
      </c>
      <c r="C134" s="16">
        <f>SUM(C135:C159)</f>
        <v>14261</v>
      </c>
      <c r="D134" s="16">
        <f>SUM(D135:D159)</f>
        <v>60</v>
      </c>
      <c r="E134" s="16">
        <f>SUM(E135:E159)</f>
        <v>100</v>
      </c>
      <c r="F134" s="16">
        <f t="shared" si="8"/>
        <v>14101</v>
      </c>
      <c r="G134" s="16">
        <f>SUM(G135:G159)</f>
        <v>16915</v>
      </c>
      <c r="H134" s="16">
        <f>SUM(H135:H159)</f>
        <v>-2814</v>
      </c>
      <c r="I134" s="23">
        <f>H134/-16804*2819</f>
        <v>472.0701023565818</v>
      </c>
    </row>
    <row r="135" spans="1:9" ht="13.5">
      <c r="A135" s="1">
        <v>1</v>
      </c>
      <c r="B135" s="2" t="s">
        <v>132</v>
      </c>
      <c r="C135" s="3">
        <v>480</v>
      </c>
      <c r="D135" s="3"/>
      <c r="E135" s="3">
        <v>1</v>
      </c>
      <c r="F135" s="3">
        <f aca="true" t="shared" si="17" ref="F135:F198">C135-E135-D135</f>
        <v>479</v>
      </c>
      <c r="G135" s="3">
        <v>479</v>
      </c>
      <c r="H135" s="3">
        <f aca="true" t="shared" si="18" ref="H135:H159">F135-G135</f>
        <v>0</v>
      </c>
      <c r="I135" s="21">
        <f>H135/-2814*472</f>
        <v>0</v>
      </c>
    </row>
    <row r="136" spans="1:9" ht="13.5">
      <c r="A136" s="1">
        <v>2</v>
      </c>
      <c r="B136" s="2" t="s">
        <v>133</v>
      </c>
      <c r="C136" s="3">
        <v>355</v>
      </c>
      <c r="D136" s="3">
        <v>2</v>
      </c>
      <c r="E136" s="3">
        <v>4</v>
      </c>
      <c r="F136" s="3">
        <f t="shared" si="17"/>
        <v>349</v>
      </c>
      <c r="G136" s="3">
        <v>454</v>
      </c>
      <c r="H136" s="3">
        <f t="shared" si="18"/>
        <v>-105</v>
      </c>
      <c r="I136" s="21">
        <f aca="true" t="shared" si="19" ref="I136:I159">H136/-2814*472</f>
        <v>17.611940298507463</v>
      </c>
    </row>
    <row r="137" spans="1:9" ht="13.5">
      <c r="A137" s="1">
        <v>3</v>
      </c>
      <c r="B137" s="2" t="s">
        <v>134</v>
      </c>
      <c r="C137" s="3">
        <v>541</v>
      </c>
      <c r="D137" s="3">
        <v>1</v>
      </c>
      <c r="E137" s="3">
        <v>1</v>
      </c>
      <c r="F137" s="3">
        <f t="shared" si="17"/>
        <v>539</v>
      </c>
      <c r="G137" s="3">
        <v>539</v>
      </c>
      <c r="H137" s="3">
        <f t="shared" si="18"/>
        <v>0</v>
      </c>
      <c r="I137" s="21">
        <f t="shared" si="19"/>
        <v>0</v>
      </c>
    </row>
    <row r="138" spans="1:9" ht="13.5">
      <c r="A138" s="1">
        <v>4</v>
      </c>
      <c r="B138" s="2" t="s">
        <v>135</v>
      </c>
      <c r="C138" s="3">
        <v>1323</v>
      </c>
      <c r="D138" s="3">
        <v>4</v>
      </c>
      <c r="E138" s="3">
        <v>6</v>
      </c>
      <c r="F138" s="3">
        <f t="shared" si="17"/>
        <v>1313</v>
      </c>
      <c r="G138" s="3">
        <v>2405</v>
      </c>
      <c r="H138" s="3">
        <f t="shared" si="18"/>
        <v>-1092</v>
      </c>
      <c r="I138" s="21">
        <f t="shared" si="19"/>
        <v>183.16417910447763</v>
      </c>
    </row>
    <row r="139" spans="1:9" ht="13.5">
      <c r="A139" s="1">
        <v>5</v>
      </c>
      <c r="B139" s="2" t="s">
        <v>136</v>
      </c>
      <c r="C139" s="3">
        <v>922</v>
      </c>
      <c r="D139" s="3">
        <v>4</v>
      </c>
      <c r="E139" s="3">
        <v>3</v>
      </c>
      <c r="F139" s="3">
        <f t="shared" si="17"/>
        <v>915</v>
      </c>
      <c r="G139" s="3">
        <v>915</v>
      </c>
      <c r="H139" s="3">
        <f t="shared" si="18"/>
        <v>0</v>
      </c>
      <c r="I139" s="21">
        <f t="shared" si="19"/>
        <v>0</v>
      </c>
    </row>
    <row r="140" spans="1:9" ht="13.5">
      <c r="A140" s="1">
        <v>6</v>
      </c>
      <c r="B140" s="2" t="s">
        <v>137</v>
      </c>
      <c r="C140" s="3">
        <v>438</v>
      </c>
      <c r="D140" s="3">
        <v>3</v>
      </c>
      <c r="E140" s="3">
        <v>1</v>
      </c>
      <c r="F140" s="3">
        <f t="shared" si="17"/>
        <v>434</v>
      </c>
      <c r="G140" s="3">
        <v>504</v>
      </c>
      <c r="H140" s="3">
        <f t="shared" si="18"/>
        <v>-70</v>
      </c>
      <c r="I140" s="21">
        <f t="shared" si="19"/>
        <v>11.74129353233831</v>
      </c>
    </row>
    <row r="141" spans="1:9" ht="13.5">
      <c r="A141" s="1">
        <v>7</v>
      </c>
      <c r="B141" s="2" t="s">
        <v>138</v>
      </c>
      <c r="C141" s="3">
        <v>786</v>
      </c>
      <c r="D141" s="3">
        <v>2</v>
      </c>
      <c r="E141" s="3">
        <v>6</v>
      </c>
      <c r="F141" s="3">
        <f t="shared" si="17"/>
        <v>778</v>
      </c>
      <c r="G141" s="3">
        <v>778</v>
      </c>
      <c r="H141" s="3">
        <f t="shared" si="18"/>
        <v>0</v>
      </c>
      <c r="I141" s="21">
        <f t="shared" si="19"/>
        <v>0</v>
      </c>
    </row>
    <row r="142" spans="1:9" ht="13.5">
      <c r="A142" s="1">
        <v>8</v>
      </c>
      <c r="B142" s="2" t="s">
        <v>139</v>
      </c>
      <c r="C142" s="3">
        <v>543</v>
      </c>
      <c r="D142" s="3">
        <v>1</v>
      </c>
      <c r="E142" s="3">
        <v>3</v>
      </c>
      <c r="F142" s="3">
        <f t="shared" si="17"/>
        <v>539</v>
      </c>
      <c r="G142" s="3">
        <v>539</v>
      </c>
      <c r="H142" s="3">
        <f t="shared" si="18"/>
        <v>0</v>
      </c>
      <c r="I142" s="21">
        <f t="shared" si="19"/>
        <v>0</v>
      </c>
    </row>
    <row r="143" spans="1:9" ht="13.5">
      <c r="A143" s="1">
        <v>9</v>
      </c>
      <c r="B143" s="2" t="s">
        <v>140</v>
      </c>
      <c r="C143" s="3">
        <v>537</v>
      </c>
      <c r="D143" s="3">
        <v>3</v>
      </c>
      <c r="E143" s="3">
        <v>3</v>
      </c>
      <c r="F143" s="3">
        <f t="shared" si="17"/>
        <v>531</v>
      </c>
      <c r="G143" s="3">
        <v>531</v>
      </c>
      <c r="H143" s="3">
        <f t="shared" si="18"/>
        <v>0</v>
      </c>
      <c r="I143" s="21">
        <f t="shared" si="19"/>
        <v>0</v>
      </c>
    </row>
    <row r="144" spans="1:9" ht="13.5">
      <c r="A144" s="1">
        <v>10</v>
      </c>
      <c r="B144" s="2" t="s">
        <v>141</v>
      </c>
      <c r="C144" s="3">
        <v>549</v>
      </c>
      <c r="D144" s="3">
        <v>1</v>
      </c>
      <c r="E144" s="3">
        <v>8</v>
      </c>
      <c r="F144" s="3">
        <f t="shared" si="17"/>
        <v>540</v>
      </c>
      <c r="G144" s="3">
        <v>540</v>
      </c>
      <c r="H144" s="3">
        <f t="shared" si="18"/>
        <v>0</v>
      </c>
      <c r="I144" s="21">
        <f t="shared" si="19"/>
        <v>0</v>
      </c>
    </row>
    <row r="145" spans="1:9" ht="13.5">
      <c r="A145" s="1">
        <v>11</v>
      </c>
      <c r="B145" s="2" t="s">
        <v>142</v>
      </c>
      <c r="C145" s="3">
        <v>586</v>
      </c>
      <c r="D145" s="3">
        <v>4</v>
      </c>
      <c r="E145" s="3">
        <v>5</v>
      </c>
      <c r="F145" s="3">
        <f t="shared" si="17"/>
        <v>577</v>
      </c>
      <c r="G145" s="3">
        <v>1067</v>
      </c>
      <c r="H145" s="3">
        <f t="shared" si="18"/>
        <v>-490</v>
      </c>
      <c r="I145" s="21">
        <f t="shared" si="19"/>
        <v>82.18905472636817</v>
      </c>
    </row>
    <row r="146" spans="1:9" ht="13.5">
      <c r="A146" s="1">
        <v>12</v>
      </c>
      <c r="B146" s="2" t="s">
        <v>143</v>
      </c>
      <c r="C146" s="3">
        <v>517</v>
      </c>
      <c r="D146" s="3">
        <v>2</v>
      </c>
      <c r="E146" s="3">
        <v>3</v>
      </c>
      <c r="F146" s="3">
        <f t="shared" si="17"/>
        <v>512</v>
      </c>
      <c r="G146" s="3">
        <v>872</v>
      </c>
      <c r="H146" s="3">
        <f t="shared" si="18"/>
        <v>-360</v>
      </c>
      <c r="I146" s="21">
        <f t="shared" si="19"/>
        <v>60.38379530916845</v>
      </c>
    </row>
    <row r="147" spans="1:9" ht="13.5">
      <c r="A147" s="1">
        <v>13</v>
      </c>
      <c r="B147" s="2" t="s">
        <v>144</v>
      </c>
      <c r="C147" s="3">
        <v>368</v>
      </c>
      <c r="D147" s="3"/>
      <c r="E147" s="3">
        <v>2</v>
      </c>
      <c r="F147" s="3">
        <f t="shared" si="17"/>
        <v>366</v>
      </c>
      <c r="G147" s="3">
        <v>370</v>
      </c>
      <c r="H147" s="3">
        <f t="shared" si="18"/>
        <v>-4</v>
      </c>
      <c r="I147" s="21">
        <f t="shared" si="19"/>
        <v>0.6709310589907604</v>
      </c>
    </row>
    <row r="148" spans="1:9" ht="13.5">
      <c r="A148" s="1">
        <v>14</v>
      </c>
      <c r="B148" s="2" t="s">
        <v>145</v>
      </c>
      <c r="C148" s="3">
        <v>276</v>
      </c>
      <c r="D148" s="3"/>
      <c r="E148" s="3">
        <v>2</v>
      </c>
      <c r="F148" s="3">
        <f t="shared" si="17"/>
        <v>274</v>
      </c>
      <c r="G148" s="3">
        <v>274</v>
      </c>
      <c r="H148" s="3">
        <f t="shared" si="18"/>
        <v>0</v>
      </c>
      <c r="I148" s="21">
        <f t="shared" si="19"/>
        <v>0</v>
      </c>
    </row>
    <row r="149" spans="1:9" ht="13.5">
      <c r="A149" s="1">
        <v>15</v>
      </c>
      <c r="B149" s="2" t="s">
        <v>146</v>
      </c>
      <c r="C149" s="3">
        <v>374</v>
      </c>
      <c r="D149" s="3">
        <v>1</v>
      </c>
      <c r="E149" s="3">
        <v>2</v>
      </c>
      <c r="F149" s="3">
        <f t="shared" si="17"/>
        <v>371</v>
      </c>
      <c r="G149" s="3">
        <v>510</v>
      </c>
      <c r="H149" s="3">
        <f t="shared" si="18"/>
        <v>-139</v>
      </c>
      <c r="I149" s="21">
        <f t="shared" si="19"/>
        <v>23.314854299928925</v>
      </c>
    </row>
    <row r="150" spans="1:9" ht="13.5">
      <c r="A150" s="1">
        <v>16</v>
      </c>
      <c r="B150" s="2" t="s">
        <v>147</v>
      </c>
      <c r="C150" s="3">
        <v>242</v>
      </c>
      <c r="D150" s="3"/>
      <c r="E150" s="3">
        <v>2</v>
      </c>
      <c r="F150" s="3">
        <f t="shared" si="17"/>
        <v>240</v>
      </c>
      <c r="G150" s="3">
        <v>607</v>
      </c>
      <c r="H150" s="3">
        <f t="shared" si="18"/>
        <v>-367</v>
      </c>
      <c r="I150" s="21">
        <f t="shared" si="19"/>
        <v>61.55792466240227</v>
      </c>
    </row>
    <row r="151" spans="1:9" ht="13.5">
      <c r="A151" s="1">
        <v>17</v>
      </c>
      <c r="B151" s="2" t="s">
        <v>148</v>
      </c>
      <c r="C151" s="3">
        <v>533</v>
      </c>
      <c r="D151" s="3">
        <v>2</v>
      </c>
      <c r="E151" s="3">
        <v>4</v>
      </c>
      <c r="F151" s="3">
        <f t="shared" si="17"/>
        <v>527</v>
      </c>
      <c r="G151" s="3">
        <v>619</v>
      </c>
      <c r="H151" s="3">
        <f t="shared" si="18"/>
        <v>-92</v>
      </c>
      <c r="I151" s="21">
        <f t="shared" si="19"/>
        <v>15.431414356787492</v>
      </c>
    </row>
    <row r="152" spans="1:9" ht="13.5">
      <c r="A152" s="1">
        <v>18</v>
      </c>
      <c r="B152" s="2" t="s">
        <v>149</v>
      </c>
      <c r="C152" s="3">
        <v>179</v>
      </c>
      <c r="D152" s="3"/>
      <c r="E152" s="3">
        <v>2</v>
      </c>
      <c r="F152" s="3">
        <f t="shared" si="17"/>
        <v>177</v>
      </c>
      <c r="G152" s="3">
        <v>177</v>
      </c>
      <c r="H152" s="3">
        <f t="shared" si="18"/>
        <v>0</v>
      </c>
      <c r="I152" s="21">
        <f t="shared" si="19"/>
        <v>0</v>
      </c>
    </row>
    <row r="153" spans="1:9" ht="13.5">
      <c r="A153" s="1">
        <v>19</v>
      </c>
      <c r="B153" s="2" t="s">
        <v>150</v>
      </c>
      <c r="C153" s="3">
        <f>2128+127</f>
        <v>2255</v>
      </c>
      <c r="D153" s="3">
        <v>19</v>
      </c>
      <c r="E153" s="3">
        <v>23</v>
      </c>
      <c r="F153" s="3">
        <f t="shared" si="17"/>
        <v>2213</v>
      </c>
      <c r="G153" s="3">
        <v>2213</v>
      </c>
      <c r="H153" s="3">
        <f t="shared" si="18"/>
        <v>0</v>
      </c>
      <c r="I153" s="21">
        <f t="shared" si="19"/>
        <v>0</v>
      </c>
    </row>
    <row r="154" spans="1:9" ht="13.5">
      <c r="A154" s="1">
        <v>20</v>
      </c>
      <c r="B154" s="2" t="s">
        <v>151</v>
      </c>
      <c r="C154" s="3">
        <v>353</v>
      </c>
      <c r="D154" s="3"/>
      <c r="E154" s="3">
        <v>5</v>
      </c>
      <c r="F154" s="3">
        <f t="shared" si="17"/>
        <v>348</v>
      </c>
      <c r="G154" s="3">
        <v>398</v>
      </c>
      <c r="H154" s="3">
        <f t="shared" si="18"/>
        <v>-50</v>
      </c>
      <c r="I154" s="21">
        <f t="shared" si="19"/>
        <v>8.386638237384506</v>
      </c>
    </row>
    <row r="155" spans="1:9" ht="13.5">
      <c r="A155" s="1">
        <v>21</v>
      </c>
      <c r="B155" s="2" t="s">
        <v>152</v>
      </c>
      <c r="C155" s="3">
        <v>583</v>
      </c>
      <c r="D155" s="3">
        <v>1</v>
      </c>
      <c r="E155" s="3">
        <v>4</v>
      </c>
      <c r="F155" s="3">
        <f t="shared" si="17"/>
        <v>578</v>
      </c>
      <c r="G155" s="3">
        <v>578</v>
      </c>
      <c r="H155" s="3">
        <f t="shared" si="18"/>
        <v>0</v>
      </c>
      <c r="I155" s="21">
        <f t="shared" si="19"/>
        <v>0</v>
      </c>
    </row>
    <row r="156" spans="1:9" ht="13.5">
      <c r="A156" s="1">
        <v>22</v>
      </c>
      <c r="B156" s="2" t="s">
        <v>153</v>
      </c>
      <c r="C156" s="3">
        <v>203</v>
      </c>
      <c r="D156" s="3">
        <v>2</v>
      </c>
      <c r="E156" s="3">
        <v>2</v>
      </c>
      <c r="F156" s="3">
        <f t="shared" si="17"/>
        <v>199</v>
      </c>
      <c r="G156" s="3">
        <v>244</v>
      </c>
      <c r="H156" s="3">
        <f t="shared" si="18"/>
        <v>-45</v>
      </c>
      <c r="I156" s="21">
        <f t="shared" si="19"/>
        <v>7.547974413646056</v>
      </c>
    </row>
    <row r="157" spans="1:9" ht="13.5">
      <c r="A157" s="1">
        <v>23</v>
      </c>
      <c r="B157" s="2" t="s">
        <v>154</v>
      </c>
      <c r="C157" s="3">
        <v>585</v>
      </c>
      <c r="D157" s="3">
        <v>5</v>
      </c>
      <c r="E157" s="3">
        <v>3</v>
      </c>
      <c r="F157" s="3">
        <f t="shared" si="17"/>
        <v>577</v>
      </c>
      <c r="G157" s="3">
        <v>577</v>
      </c>
      <c r="H157" s="3">
        <f t="shared" si="18"/>
        <v>0</v>
      </c>
      <c r="I157" s="21">
        <f t="shared" si="19"/>
        <v>0</v>
      </c>
    </row>
    <row r="158" spans="1:9" ht="13.5">
      <c r="A158" s="1">
        <v>24</v>
      </c>
      <c r="B158" s="2" t="s">
        <v>155</v>
      </c>
      <c r="C158" s="3">
        <v>733</v>
      </c>
      <c r="D158" s="3">
        <v>3</v>
      </c>
      <c r="E158" s="3">
        <v>5</v>
      </c>
      <c r="F158" s="3">
        <f t="shared" si="17"/>
        <v>725</v>
      </c>
      <c r="G158" s="3">
        <v>725</v>
      </c>
      <c r="H158" s="3">
        <f t="shared" si="18"/>
        <v>0</v>
      </c>
      <c r="I158" s="21">
        <f t="shared" si="19"/>
        <v>0</v>
      </c>
    </row>
    <row r="159" spans="1:9" ht="13.5">
      <c r="A159" s="1">
        <v>25</v>
      </c>
      <c r="B159" s="2" t="s">
        <v>156</v>
      </c>
      <c r="C159" s="3"/>
      <c r="D159" s="3"/>
      <c r="E159" s="3"/>
      <c r="F159" s="3">
        <f t="shared" si="17"/>
        <v>0</v>
      </c>
      <c r="G159" s="3"/>
      <c r="H159" s="3">
        <f t="shared" si="18"/>
        <v>0</v>
      </c>
      <c r="I159" s="21">
        <f t="shared" si="19"/>
        <v>0</v>
      </c>
    </row>
    <row r="160" spans="1:9" ht="13.5">
      <c r="A160" s="14" t="s">
        <v>460</v>
      </c>
      <c r="B160" s="15" t="s">
        <v>157</v>
      </c>
      <c r="C160" s="16">
        <f>SUM(C161:C195)</f>
        <v>13316</v>
      </c>
      <c r="D160" s="16">
        <f>SUM(D161:D195)</f>
        <v>57</v>
      </c>
      <c r="E160" s="16">
        <f>SUM(E161:E195)</f>
        <v>141</v>
      </c>
      <c r="F160" s="16">
        <f t="shared" si="17"/>
        <v>13118</v>
      </c>
      <c r="G160" s="16">
        <f>SUM(G161:G195)</f>
        <v>14386</v>
      </c>
      <c r="H160" s="16">
        <f>SUM(H161:H195)</f>
        <v>-1268</v>
      </c>
      <c r="I160" s="23">
        <f>H160/-16804*2819</f>
        <v>212.71673411092596</v>
      </c>
    </row>
    <row r="161" spans="1:9" ht="13.5">
      <c r="A161" s="1">
        <v>1</v>
      </c>
      <c r="B161" s="2" t="s">
        <v>158</v>
      </c>
      <c r="C161" s="3">
        <v>381</v>
      </c>
      <c r="D161" s="3">
        <v>1</v>
      </c>
      <c r="E161" s="3">
        <v>6</v>
      </c>
      <c r="F161" s="3">
        <f t="shared" si="17"/>
        <v>374</v>
      </c>
      <c r="G161" s="3">
        <v>392</v>
      </c>
      <c r="H161" s="3">
        <f aca="true" t="shared" si="20" ref="H161:H195">F161-G161</f>
        <v>-18</v>
      </c>
      <c r="I161" s="21">
        <f>H161/-1268*213</f>
        <v>3.0236593059936907</v>
      </c>
    </row>
    <row r="162" spans="1:9" ht="13.5">
      <c r="A162" s="1">
        <v>2</v>
      </c>
      <c r="B162" s="2" t="s">
        <v>159</v>
      </c>
      <c r="C162" s="3">
        <v>577</v>
      </c>
      <c r="D162" s="3">
        <v>2</v>
      </c>
      <c r="E162" s="3">
        <v>7</v>
      </c>
      <c r="F162" s="3">
        <f t="shared" si="17"/>
        <v>568</v>
      </c>
      <c r="G162" s="3">
        <v>568</v>
      </c>
      <c r="H162" s="3">
        <f t="shared" si="20"/>
        <v>0</v>
      </c>
      <c r="I162" s="21">
        <f aca="true" t="shared" si="21" ref="I162:I195">H162/-1268*213</f>
        <v>0</v>
      </c>
    </row>
    <row r="163" spans="1:9" ht="13.5">
      <c r="A163" s="1">
        <v>3</v>
      </c>
      <c r="B163" s="2" t="s">
        <v>160</v>
      </c>
      <c r="C163" s="3">
        <v>250</v>
      </c>
      <c r="D163" s="3">
        <v>4</v>
      </c>
      <c r="E163" s="3">
        <v>2</v>
      </c>
      <c r="F163" s="3">
        <f t="shared" si="17"/>
        <v>244</v>
      </c>
      <c r="G163" s="3">
        <v>244</v>
      </c>
      <c r="H163" s="3">
        <f t="shared" si="20"/>
        <v>0</v>
      </c>
      <c r="I163" s="21">
        <f t="shared" si="21"/>
        <v>0</v>
      </c>
    </row>
    <row r="164" spans="1:9" ht="13.5">
      <c r="A164" s="1">
        <v>4</v>
      </c>
      <c r="B164" s="2" t="s">
        <v>161</v>
      </c>
      <c r="C164" s="3">
        <v>264</v>
      </c>
      <c r="D164" s="3">
        <v>1</v>
      </c>
      <c r="E164" s="3">
        <v>2</v>
      </c>
      <c r="F164" s="3">
        <f t="shared" si="17"/>
        <v>261</v>
      </c>
      <c r="G164" s="3">
        <v>327</v>
      </c>
      <c r="H164" s="3">
        <f t="shared" si="20"/>
        <v>-66</v>
      </c>
      <c r="I164" s="21">
        <f t="shared" si="21"/>
        <v>11.086750788643533</v>
      </c>
    </row>
    <row r="165" spans="1:9" ht="13.5">
      <c r="A165" s="1">
        <v>5</v>
      </c>
      <c r="B165" s="2" t="s">
        <v>162</v>
      </c>
      <c r="C165" s="3">
        <v>356</v>
      </c>
      <c r="D165" s="3">
        <v>2</v>
      </c>
      <c r="E165" s="3">
        <v>5</v>
      </c>
      <c r="F165" s="3">
        <f t="shared" si="17"/>
        <v>349</v>
      </c>
      <c r="G165" s="3">
        <v>367</v>
      </c>
      <c r="H165" s="3">
        <f t="shared" si="20"/>
        <v>-18</v>
      </c>
      <c r="I165" s="21">
        <f t="shared" si="21"/>
        <v>3.0236593059936907</v>
      </c>
    </row>
    <row r="166" spans="1:9" ht="13.5">
      <c r="A166" s="1">
        <v>6</v>
      </c>
      <c r="B166" s="2" t="s">
        <v>163</v>
      </c>
      <c r="C166" s="3">
        <v>428</v>
      </c>
      <c r="D166" s="3">
        <v>2</v>
      </c>
      <c r="E166" s="3">
        <v>4</v>
      </c>
      <c r="F166" s="3">
        <f t="shared" si="17"/>
        <v>422</v>
      </c>
      <c r="G166" s="3">
        <v>422</v>
      </c>
      <c r="H166" s="3">
        <f t="shared" si="20"/>
        <v>0</v>
      </c>
      <c r="I166" s="21">
        <f t="shared" si="21"/>
        <v>0</v>
      </c>
    </row>
    <row r="167" spans="1:9" ht="13.5">
      <c r="A167" s="1">
        <v>7</v>
      </c>
      <c r="B167" s="2" t="s">
        <v>164</v>
      </c>
      <c r="C167" s="3">
        <v>207</v>
      </c>
      <c r="D167" s="3"/>
      <c r="E167" s="3">
        <v>3</v>
      </c>
      <c r="F167" s="3">
        <f t="shared" si="17"/>
        <v>204</v>
      </c>
      <c r="G167" s="3">
        <v>336</v>
      </c>
      <c r="H167" s="3">
        <f t="shared" si="20"/>
        <v>-132</v>
      </c>
      <c r="I167" s="21">
        <f t="shared" si="21"/>
        <v>22.173501577287066</v>
      </c>
    </row>
    <row r="168" spans="1:9" ht="13.5">
      <c r="A168" s="1">
        <v>8</v>
      </c>
      <c r="B168" s="2" t="s">
        <v>165</v>
      </c>
      <c r="C168" s="3">
        <v>353</v>
      </c>
      <c r="D168" s="3"/>
      <c r="E168" s="3">
        <v>2</v>
      </c>
      <c r="F168" s="3">
        <f t="shared" si="17"/>
        <v>351</v>
      </c>
      <c r="G168" s="3">
        <v>590</v>
      </c>
      <c r="H168" s="3">
        <f t="shared" si="20"/>
        <v>-239</v>
      </c>
      <c r="I168" s="21">
        <f t="shared" si="21"/>
        <v>40.147476340694006</v>
      </c>
    </row>
    <row r="169" spans="1:9" ht="13.5">
      <c r="A169" s="1">
        <v>9</v>
      </c>
      <c r="B169" s="2" t="s">
        <v>166</v>
      </c>
      <c r="C169" s="3">
        <v>491</v>
      </c>
      <c r="D169" s="3">
        <v>1</v>
      </c>
      <c r="E169" s="3">
        <v>3</v>
      </c>
      <c r="F169" s="3">
        <f t="shared" si="17"/>
        <v>487</v>
      </c>
      <c r="G169" s="3">
        <v>487</v>
      </c>
      <c r="H169" s="3">
        <f t="shared" si="20"/>
        <v>0</v>
      </c>
      <c r="I169" s="21">
        <f t="shared" si="21"/>
        <v>0</v>
      </c>
    </row>
    <row r="170" spans="1:9" ht="13.5">
      <c r="A170" s="1">
        <v>10</v>
      </c>
      <c r="B170" s="2" t="s">
        <v>167</v>
      </c>
      <c r="C170" s="3">
        <v>977</v>
      </c>
      <c r="D170" s="3">
        <v>5</v>
      </c>
      <c r="E170" s="3">
        <v>17</v>
      </c>
      <c r="F170" s="3">
        <f t="shared" si="17"/>
        <v>955</v>
      </c>
      <c r="G170" s="3">
        <v>955</v>
      </c>
      <c r="H170" s="3">
        <f t="shared" si="20"/>
        <v>0</v>
      </c>
      <c r="I170" s="21">
        <f t="shared" si="21"/>
        <v>0</v>
      </c>
    </row>
    <row r="171" spans="1:9" ht="13.5">
      <c r="A171" s="1">
        <v>11</v>
      </c>
      <c r="B171" s="2" t="s">
        <v>168</v>
      </c>
      <c r="C171" s="3">
        <v>488</v>
      </c>
      <c r="D171" s="3">
        <v>1</v>
      </c>
      <c r="E171" s="3">
        <v>6</v>
      </c>
      <c r="F171" s="3">
        <f t="shared" si="17"/>
        <v>481</v>
      </c>
      <c r="G171" s="3">
        <v>481</v>
      </c>
      <c r="H171" s="3">
        <f t="shared" si="20"/>
        <v>0</v>
      </c>
      <c r="I171" s="21">
        <f t="shared" si="21"/>
        <v>0</v>
      </c>
    </row>
    <row r="172" spans="1:9" ht="13.5">
      <c r="A172" s="1">
        <v>12</v>
      </c>
      <c r="B172" s="2" t="s">
        <v>169</v>
      </c>
      <c r="C172" s="3">
        <v>385</v>
      </c>
      <c r="D172" s="3">
        <v>2</v>
      </c>
      <c r="E172" s="3">
        <v>7</v>
      </c>
      <c r="F172" s="3">
        <f t="shared" si="17"/>
        <v>376</v>
      </c>
      <c r="G172" s="3">
        <v>410</v>
      </c>
      <c r="H172" s="3">
        <f t="shared" si="20"/>
        <v>-34</v>
      </c>
      <c r="I172" s="21">
        <f t="shared" si="21"/>
        <v>5.711356466876971</v>
      </c>
    </row>
    <row r="173" spans="1:9" ht="13.5">
      <c r="A173" s="1">
        <v>13</v>
      </c>
      <c r="B173" s="2" t="s">
        <v>170</v>
      </c>
      <c r="C173" s="3">
        <v>381</v>
      </c>
      <c r="D173" s="3"/>
      <c r="E173" s="3"/>
      <c r="F173" s="3">
        <f t="shared" si="17"/>
        <v>381</v>
      </c>
      <c r="G173" s="3">
        <v>768</v>
      </c>
      <c r="H173" s="3">
        <f t="shared" si="20"/>
        <v>-387</v>
      </c>
      <c r="I173" s="21">
        <f t="shared" si="21"/>
        <v>65.00867507886436</v>
      </c>
    </row>
    <row r="174" spans="1:9" ht="13.5">
      <c r="A174" s="1">
        <v>14</v>
      </c>
      <c r="B174" s="2" t="s">
        <v>171</v>
      </c>
      <c r="C174" s="3">
        <v>393</v>
      </c>
      <c r="D174" s="3">
        <v>1</v>
      </c>
      <c r="E174" s="3">
        <v>4</v>
      </c>
      <c r="F174" s="3">
        <f t="shared" si="17"/>
        <v>388</v>
      </c>
      <c r="G174" s="3">
        <v>388</v>
      </c>
      <c r="H174" s="3">
        <f t="shared" si="20"/>
        <v>0</v>
      </c>
      <c r="I174" s="21">
        <f t="shared" si="21"/>
        <v>0</v>
      </c>
    </row>
    <row r="175" spans="1:9" ht="13.5">
      <c r="A175" s="1">
        <v>15</v>
      </c>
      <c r="B175" s="2" t="s">
        <v>172</v>
      </c>
      <c r="C175" s="3">
        <v>310</v>
      </c>
      <c r="D175" s="3">
        <v>1</v>
      </c>
      <c r="E175" s="3">
        <v>1</v>
      </c>
      <c r="F175" s="3">
        <f t="shared" si="17"/>
        <v>308</v>
      </c>
      <c r="G175" s="3">
        <v>308</v>
      </c>
      <c r="H175" s="3">
        <f t="shared" si="20"/>
        <v>0</v>
      </c>
      <c r="I175" s="21">
        <f t="shared" si="21"/>
        <v>0</v>
      </c>
    </row>
    <row r="176" spans="1:9" ht="13.5">
      <c r="A176" s="1">
        <v>16</v>
      </c>
      <c r="B176" s="2" t="s">
        <v>173</v>
      </c>
      <c r="C176" s="3">
        <v>623</v>
      </c>
      <c r="D176" s="3">
        <v>3</v>
      </c>
      <c r="E176" s="3">
        <v>8</v>
      </c>
      <c r="F176" s="3">
        <f t="shared" si="17"/>
        <v>612</v>
      </c>
      <c r="G176" s="3">
        <v>612</v>
      </c>
      <c r="H176" s="3">
        <f t="shared" si="20"/>
        <v>0</v>
      </c>
      <c r="I176" s="21">
        <f t="shared" si="21"/>
        <v>0</v>
      </c>
    </row>
    <row r="177" spans="1:9" ht="13.5">
      <c r="A177" s="1">
        <v>17</v>
      </c>
      <c r="B177" s="2" t="s">
        <v>174</v>
      </c>
      <c r="C177" s="3">
        <v>208</v>
      </c>
      <c r="D177" s="3"/>
      <c r="E177" s="3">
        <v>1</v>
      </c>
      <c r="F177" s="3">
        <f t="shared" si="17"/>
        <v>207</v>
      </c>
      <c r="G177" s="3">
        <v>331</v>
      </c>
      <c r="H177" s="3">
        <f t="shared" si="20"/>
        <v>-124</v>
      </c>
      <c r="I177" s="21">
        <f t="shared" si="21"/>
        <v>20.829652996845425</v>
      </c>
    </row>
    <row r="178" spans="1:9" ht="13.5">
      <c r="A178" s="1">
        <v>18</v>
      </c>
      <c r="B178" s="2" t="s">
        <v>175</v>
      </c>
      <c r="C178" s="3">
        <v>365</v>
      </c>
      <c r="D178" s="3">
        <v>2</v>
      </c>
      <c r="E178" s="3">
        <v>3</v>
      </c>
      <c r="F178" s="3">
        <f t="shared" si="17"/>
        <v>360</v>
      </c>
      <c r="G178" s="3">
        <v>360</v>
      </c>
      <c r="H178" s="3">
        <f t="shared" si="20"/>
        <v>0</v>
      </c>
      <c r="I178" s="21">
        <f t="shared" si="21"/>
        <v>0</v>
      </c>
    </row>
    <row r="179" spans="1:9" ht="13.5">
      <c r="A179" s="1">
        <v>19</v>
      </c>
      <c r="B179" s="2" t="s">
        <v>176</v>
      </c>
      <c r="C179" s="3">
        <v>341</v>
      </c>
      <c r="D179" s="3">
        <v>3</v>
      </c>
      <c r="E179" s="3">
        <v>2</v>
      </c>
      <c r="F179" s="3">
        <f t="shared" si="17"/>
        <v>336</v>
      </c>
      <c r="G179" s="3">
        <v>336</v>
      </c>
      <c r="H179" s="3">
        <f t="shared" si="20"/>
        <v>0</v>
      </c>
      <c r="I179" s="21">
        <f t="shared" si="21"/>
        <v>0</v>
      </c>
    </row>
    <row r="180" spans="1:9" ht="13.5">
      <c r="A180" s="1">
        <v>20</v>
      </c>
      <c r="B180" s="2" t="s">
        <v>177</v>
      </c>
      <c r="C180" s="3">
        <v>213</v>
      </c>
      <c r="D180" s="3">
        <v>1</v>
      </c>
      <c r="E180" s="3">
        <v>2</v>
      </c>
      <c r="F180" s="3">
        <f t="shared" si="17"/>
        <v>210</v>
      </c>
      <c r="G180" s="3">
        <v>259</v>
      </c>
      <c r="H180" s="3">
        <f t="shared" si="20"/>
        <v>-49</v>
      </c>
      <c r="I180" s="21">
        <f t="shared" si="21"/>
        <v>8.231072555205047</v>
      </c>
    </row>
    <row r="181" spans="1:9" ht="13.5">
      <c r="A181" s="1">
        <v>21</v>
      </c>
      <c r="B181" s="2" t="s">
        <v>178</v>
      </c>
      <c r="C181" s="3">
        <v>242</v>
      </c>
      <c r="D181" s="3">
        <v>2</v>
      </c>
      <c r="E181" s="3"/>
      <c r="F181" s="3">
        <f t="shared" si="17"/>
        <v>240</v>
      </c>
      <c r="G181" s="3">
        <v>240</v>
      </c>
      <c r="H181" s="3">
        <f t="shared" si="20"/>
        <v>0</v>
      </c>
      <c r="I181" s="21">
        <f t="shared" si="21"/>
        <v>0</v>
      </c>
    </row>
    <row r="182" spans="1:9" ht="13.5">
      <c r="A182" s="1">
        <v>22</v>
      </c>
      <c r="B182" s="2" t="s">
        <v>179</v>
      </c>
      <c r="C182" s="3">
        <v>342</v>
      </c>
      <c r="D182" s="3"/>
      <c r="E182" s="3">
        <v>1</v>
      </c>
      <c r="F182" s="3">
        <f t="shared" si="17"/>
        <v>341</v>
      </c>
      <c r="G182" s="3">
        <v>341</v>
      </c>
      <c r="H182" s="3">
        <f t="shared" si="20"/>
        <v>0</v>
      </c>
      <c r="I182" s="21">
        <f t="shared" si="21"/>
        <v>0</v>
      </c>
    </row>
    <row r="183" spans="1:9" ht="13.5">
      <c r="A183" s="1">
        <v>23</v>
      </c>
      <c r="B183" s="2" t="s">
        <v>180</v>
      </c>
      <c r="C183" s="3">
        <v>196</v>
      </c>
      <c r="D183" s="3"/>
      <c r="E183" s="3">
        <v>1</v>
      </c>
      <c r="F183" s="3">
        <f t="shared" si="17"/>
        <v>195</v>
      </c>
      <c r="G183" s="3">
        <v>202</v>
      </c>
      <c r="H183" s="3">
        <f t="shared" si="20"/>
        <v>-7</v>
      </c>
      <c r="I183" s="21">
        <f t="shared" si="21"/>
        <v>1.1758675078864353</v>
      </c>
    </row>
    <row r="184" spans="1:9" ht="13.5">
      <c r="A184" s="1">
        <v>24</v>
      </c>
      <c r="B184" s="2" t="s">
        <v>181</v>
      </c>
      <c r="C184" s="3">
        <v>259</v>
      </c>
      <c r="D184" s="3">
        <v>1</v>
      </c>
      <c r="E184" s="3"/>
      <c r="F184" s="3">
        <f t="shared" si="17"/>
        <v>258</v>
      </c>
      <c r="G184" s="3">
        <v>258</v>
      </c>
      <c r="H184" s="3">
        <f t="shared" si="20"/>
        <v>0</v>
      </c>
      <c r="I184" s="21">
        <f t="shared" si="21"/>
        <v>0</v>
      </c>
    </row>
    <row r="185" spans="1:9" ht="13.5">
      <c r="A185" s="1">
        <v>25</v>
      </c>
      <c r="B185" s="2" t="s">
        <v>182</v>
      </c>
      <c r="C185" s="3">
        <v>123</v>
      </c>
      <c r="D185" s="3"/>
      <c r="E185" s="3"/>
      <c r="F185" s="3">
        <f t="shared" si="17"/>
        <v>123</v>
      </c>
      <c r="G185" s="3">
        <v>167</v>
      </c>
      <c r="H185" s="3">
        <f t="shared" si="20"/>
        <v>-44</v>
      </c>
      <c r="I185" s="21">
        <f t="shared" si="21"/>
        <v>7.391167192429022</v>
      </c>
    </row>
    <row r="186" spans="1:9" ht="13.5">
      <c r="A186" s="1">
        <v>26</v>
      </c>
      <c r="B186" s="2" t="s">
        <v>183</v>
      </c>
      <c r="C186" s="3">
        <v>278</v>
      </c>
      <c r="D186" s="3">
        <v>2</v>
      </c>
      <c r="E186" s="3">
        <v>1</v>
      </c>
      <c r="F186" s="3">
        <f t="shared" si="17"/>
        <v>275</v>
      </c>
      <c r="G186" s="3">
        <v>275</v>
      </c>
      <c r="H186" s="3">
        <f t="shared" si="20"/>
        <v>0</v>
      </c>
      <c r="I186" s="21">
        <f t="shared" si="21"/>
        <v>0</v>
      </c>
    </row>
    <row r="187" spans="1:9" ht="13.5">
      <c r="A187" s="1">
        <v>27</v>
      </c>
      <c r="B187" s="2" t="s">
        <v>184</v>
      </c>
      <c r="C187" s="3">
        <v>332</v>
      </c>
      <c r="D187" s="3"/>
      <c r="E187" s="3">
        <v>2</v>
      </c>
      <c r="F187" s="3">
        <f t="shared" si="17"/>
        <v>330</v>
      </c>
      <c r="G187" s="3">
        <v>348</v>
      </c>
      <c r="H187" s="3">
        <f t="shared" si="20"/>
        <v>-18</v>
      </c>
      <c r="I187" s="21">
        <f t="shared" si="21"/>
        <v>3.0236593059936907</v>
      </c>
    </row>
    <row r="188" spans="1:9" ht="13.5">
      <c r="A188" s="1">
        <v>28</v>
      </c>
      <c r="B188" s="2" t="s">
        <v>185</v>
      </c>
      <c r="C188" s="3">
        <v>428</v>
      </c>
      <c r="D188" s="3">
        <v>2</v>
      </c>
      <c r="E188" s="3">
        <v>7</v>
      </c>
      <c r="F188" s="3">
        <f t="shared" si="17"/>
        <v>419</v>
      </c>
      <c r="G188" s="3">
        <v>419</v>
      </c>
      <c r="H188" s="3">
        <f t="shared" si="20"/>
        <v>0</v>
      </c>
      <c r="I188" s="21">
        <f t="shared" si="21"/>
        <v>0</v>
      </c>
    </row>
    <row r="189" spans="1:9" ht="13.5">
      <c r="A189" s="1">
        <v>29</v>
      </c>
      <c r="B189" s="2" t="s">
        <v>186</v>
      </c>
      <c r="C189" s="3">
        <v>400</v>
      </c>
      <c r="D189" s="3">
        <v>4</v>
      </c>
      <c r="E189" s="3">
        <v>4</v>
      </c>
      <c r="F189" s="3">
        <f t="shared" si="17"/>
        <v>392</v>
      </c>
      <c r="G189" s="3">
        <v>502</v>
      </c>
      <c r="H189" s="3">
        <f t="shared" si="20"/>
        <v>-110</v>
      </c>
      <c r="I189" s="21">
        <f t="shared" si="21"/>
        <v>18.477917981072554</v>
      </c>
    </row>
    <row r="190" spans="1:9" ht="13.5">
      <c r="A190" s="1">
        <v>30</v>
      </c>
      <c r="B190" s="2" t="s">
        <v>187</v>
      </c>
      <c r="C190" s="3">
        <v>281</v>
      </c>
      <c r="D190" s="3"/>
      <c r="E190" s="3">
        <v>3</v>
      </c>
      <c r="F190" s="3">
        <f t="shared" si="17"/>
        <v>278</v>
      </c>
      <c r="G190" s="3">
        <v>278</v>
      </c>
      <c r="H190" s="3">
        <f t="shared" si="20"/>
        <v>0</v>
      </c>
      <c r="I190" s="21">
        <f t="shared" si="21"/>
        <v>0</v>
      </c>
    </row>
    <row r="191" spans="1:9" ht="13.5">
      <c r="A191" s="1">
        <v>31</v>
      </c>
      <c r="B191" s="2" t="s">
        <v>188</v>
      </c>
      <c r="C191" s="3">
        <v>744</v>
      </c>
      <c r="D191" s="3">
        <v>5</v>
      </c>
      <c r="E191" s="3">
        <v>10</v>
      </c>
      <c r="F191" s="3">
        <f t="shared" si="17"/>
        <v>729</v>
      </c>
      <c r="G191" s="3">
        <v>729</v>
      </c>
      <c r="H191" s="3">
        <f t="shared" si="20"/>
        <v>0</v>
      </c>
      <c r="I191" s="21">
        <f t="shared" si="21"/>
        <v>0</v>
      </c>
    </row>
    <row r="192" spans="1:9" ht="13.5">
      <c r="A192" s="1">
        <v>32</v>
      </c>
      <c r="B192" s="2" t="s">
        <v>189</v>
      </c>
      <c r="C192" s="3">
        <v>181</v>
      </c>
      <c r="D192" s="3"/>
      <c r="E192" s="3">
        <v>3</v>
      </c>
      <c r="F192" s="3">
        <f t="shared" si="17"/>
        <v>178</v>
      </c>
      <c r="G192" s="3">
        <v>178</v>
      </c>
      <c r="H192" s="3">
        <f t="shared" si="20"/>
        <v>0</v>
      </c>
      <c r="I192" s="21">
        <f t="shared" si="21"/>
        <v>0</v>
      </c>
    </row>
    <row r="193" spans="1:9" ht="13.5">
      <c r="A193" s="1">
        <v>33</v>
      </c>
      <c r="B193" s="2" t="s">
        <v>190</v>
      </c>
      <c r="C193" s="3">
        <f>1030+123</f>
        <v>1153</v>
      </c>
      <c r="D193" s="3">
        <v>8</v>
      </c>
      <c r="E193" s="3">
        <v>19</v>
      </c>
      <c r="F193" s="3">
        <f t="shared" si="17"/>
        <v>1126</v>
      </c>
      <c r="G193" s="3">
        <v>1126</v>
      </c>
      <c r="H193" s="3">
        <f t="shared" si="20"/>
        <v>0</v>
      </c>
      <c r="I193" s="21">
        <f t="shared" si="21"/>
        <v>0</v>
      </c>
    </row>
    <row r="194" spans="1:9" ht="13.5">
      <c r="A194" s="1">
        <v>34</v>
      </c>
      <c r="B194" s="2" t="s">
        <v>191</v>
      </c>
      <c r="C194" s="3">
        <v>134</v>
      </c>
      <c r="D194" s="3"/>
      <c r="E194" s="3">
        <v>1</v>
      </c>
      <c r="F194" s="3">
        <f t="shared" si="17"/>
        <v>133</v>
      </c>
      <c r="G194" s="3">
        <v>155</v>
      </c>
      <c r="H194" s="3">
        <f t="shared" si="20"/>
        <v>-22</v>
      </c>
      <c r="I194" s="21">
        <f t="shared" si="21"/>
        <v>3.695583596214511</v>
      </c>
    </row>
    <row r="195" spans="1:9" ht="13.5">
      <c r="A195" s="1">
        <v>35</v>
      </c>
      <c r="B195" s="2" t="s">
        <v>192</v>
      </c>
      <c r="C195" s="3">
        <v>232</v>
      </c>
      <c r="D195" s="3">
        <v>1</v>
      </c>
      <c r="E195" s="3">
        <v>4</v>
      </c>
      <c r="F195" s="3">
        <f t="shared" si="17"/>
        <v>227</v>
      </c>
      <c r="G195" s="3">
        <v>227</v>
      </c>
      <c r="H195" s="3">
        <f t="shared" si="20"/>
        <v>0</v>
      </c>
      <c r="I195" s="21">
        <f t="shared" si="21"/>
        <v>0</v>
      </c>
    </row>
    <row r="196" spans="1:9" ht="13.5">
      <c r="A196" s="14" t="s">
        <v>461</v>
      </c>
      <c r="B196" s="15" t="s">
        <v>193</v>
      </c>
      <c r="C196" s="16">
        <f>SUM(C197:C201)</f>
        <v>3988</v>
      </c>
      <c r="D196" s="16">
        <f>SUM(D197:D201)</f>
        <v>28</v>
      </c>
      <c r="E196" s="16">
        <f>SUM(E197:E201)</f>
        <v>70</v>
      </c>
      <c r="F196" s="16">
        <f t="shared" si="17"/>
        <v>3890</v>
      </c>
      <c r="G196" s="16">
        <f>SUM(G197:G201)</f>
        <v>3890</v>
      </c>
      <c r="H196" s="16">
        <f>SUM(H197:H201)</f>
        <v>0</v>
      </c>
      <c r="I196" s="23">
        <f>H196/-16804*6188</f>
        <v>0</v>
      </c>
    </row>
    <row r="197" spans="1:9" ht="13.5">
      <c r="A197" s="1">
        <v>1</v>
      </c>
      <c r="B197" s="2" t="s">
        <v>194</v>
      </c>
      <c r="C197" s="3">
        <v>467</v>
      </c>
      <c r="D197" s="3">
        <v>2</v>
      </c>
      <c r="E197" s="3">
        <v>7</v>
      </c>
      <c r="F197" s="3">
        <f t="shared" si="17"/>
        <v>458</v>
      </c>
      <c r="G197" s="3">
        <v>458</v>
      </c>
      <c r="H197" s="3">
        <f>F197-G197</f>
        <v>0</v>
      </c>
      <c r="I197" s="21">
        <v>0</v>
      </c>
    </row>
    <row r="198" spans="1:9" ht="13.5">
      <c r="A198" s="1">
        <v>2</v>
      </c>
      <c r="B198" s="2" t="s">
        <v>195</v>
      </c>
      <c r="C198" s="3">
        <v>795</v>
      </c>
      <c r="D198" s="3">
        <v>2</v>
      </c>
      <c r="E198" s="3">
        <v>13</v>
      </c>
      <c r="F198" s="3">
        <f t="shared" si="17"/>
        <v>780</v>
      </c>
      <c r="G198" s="3">
        <v>780</v>
      </c>
      <c r="H198" s="3">
        <f>F198-G198</f>
        <v>0</v>
      </c>
      <c r="I198" s="21">
        <v>0</v>
      </c>
    </row>
    <row r="199" spans="1:9" ht="13.5">
      <c r="A199" s="1">
        <v>3</v>
      </c>
      <c r="B199" s="2" t="s">
        <v>196</v>
      </c>
      <c r="C199" s="3">
        <v>497</v>
      </c>
      <c r="D199" s="3">
        <v>2</v>
      </c>
      <c r="E199" s="3">
        <v>12</v>
      </c>
      <c r="F199" s="3">
        <f aca="true" t="shared" si="22" ref="F199:F262">C199-E199-D199</f>
        <v>483</v>
      </c>
      <c r="G199" s="3">
        <v>483</v>
      </c>
      <c r="H199" s="3">
        <f>F199-G199</f>
        <v>0</v>
      </c>
      <c r="I199" s="21">
        <v>0</v>
      </c>
    </row>
    <row r="200" spans="1:9" ht="13.5">
      <c r="A200" s="1">
        <v>4</v>
      </c>
      <c r="B200" s="2" t="s">
        <v>197</v>
      </c>
      <c r="C200" s="3">
        <v>933</v>
      </c>
      <c r="D200" s="3">
        <v>11</v>
      </c>
      <c r="E200" s="3">
        <v>21</v>
      </c>
      <c r="F200" s="3">
        <f t="shared" si="22"/>
        <v>901</v>
      </c>
      <c r="G200" s="3">
        <v>901</v>
      </c>
      <c r="H200" s="3">
        <f>F200-G200</f>
        <v>0</v>
      </c>
      <c r="I200" s="21">
        <v>0</v>
      </c>
    </row>
    <row r="201" spans="1:9" ht="13.5">
      <c r="A201" s="1">
        <v>5</v>
      </c>
      <c r="B201" s="2" t="s">
        <v>198</v>
      </c>
      <c r="C201" s="3">
        <f>750+546</f>
        <v>1296</v>
      </c>
      <c r="D201" s="3">
        <v>11</v>
      </c>
      <c r="E201" s="3">
        <v>17</v>
      </c>
      <c r="F201" s="3">
        <f t="shared" si="22"/>
        <v>1268</v>
      </c>
      <c r="G201" s="3">
        <v>1268</v>
      </c>
      <c r="H201" s="3">
        <f>F201-G201</f>
        <v>0</v>
      </c>
      <c r="I201" s="21">
        <v>0</v>
      </c>
    </row>
    <row r="202" spans="1:9" ht="13.5">
      <c r="A202" s="14" t="s">
        <v>462</v>
      </c>
      <c r="B202" s="15" t="s">
        <v>199</v>
      </c>
      <c r="C202" s="16">
        <f>SUM(C203:C240)</f>
        <v>14629</v>
      </c>
      <c r="D202" s="16">
        <f>SUM(D203:D240)</f>
        <v>59</v>
      </c>
      <c r="E202" s="16">
        <f>SUM(E203:E240)</f>
        <v>149</v>
      </c>
      <c r="F202" s="16">
        <f t="shared" si="22"/>
        <v>14421</v>
      </c>
      <c r="G202" s="16">
        <f>SUM(G203:G240)</f>
        <v>14866</v>
      </c>
      <c r="H202" s="16">
        <f>SUM(H203:H240)</f>
        <v>-445</v>
      </c>
      <c r="I202" s="23">
        <f>H202/-16804*2819</f>
        <v>74.65216615091644</v>
      </c>
    </row>
    <row r="203" spans="1:9" ht="13.5">
      <c r="A203" s="1">
        <v>1</v>
      </c>
      <c r="B203" s="2" t="s">
        <v>200</v>
      </c>
      <c r="C203" s="3">
        <v>271</v>
      </c>
      <c r="D203" s="3"/>
      <c r="E203" s="3"/>
      <c r="F203" s="3">
        <f t="shared" si="22"/>
        <v>271</v>
      </c>
      <c r="G203" s="3">
        <v>271</v>
      </c>
      <c r="H203" s="3">
        <f aca="true" t="shared" si="23" ref="H203:H240">F203-G203</f>
        <v>0</v>
      </c>
      <c r="I203" s="21">
        <f>H203/-445*75</f>
        <v>0</v>
      </c>
    </row>
    <row r="204" spans="1:9" ht="13.5">
      <c r="A204" s="1">
        <v>2</v>
      </c>
      <c r="B204" s="2" t="s">
        <v>201</v>
      </c>
      <c r="C204" s="3">
        <v>369</v>
      </c>
      <c r="D204" s="3"/>
      <c r="E204" s="3">
        <v>1</v>
      </c>
      <c r="F204" s="3">
        <f t="shared" si="22"/>
        <v>368</v>
      </c>
      <c r="G204" s="3">
        <v>378</v>
      </c>
      <c r="H204" s="3">
        <f t="shared" si="23"/>
        <v>-10</v>
      </c>
      <c r="I204" s="21">
        <f aca="true" t="shared" si="24" ref="I204:I240">H204/-445*75</f>
        <v>1.6853932584269662</v>
      </c>
    </row>
    <row r="205" spans="1:9" ht="13.5">
      <c r="A205" s="1">
        <v>3</v>
      </c>
      <c r="B205" s="2" t="s">
        <v>202</v>
      </c>
      <c r="C205" s="3">
        <v>321</v>
      </c>
      <c r="D205" s="3">
        <v>3</v>
      </c>
      <c r="E205" s="3">
        <v>4</v>
      </c>
      <c r="F205" s="3">
        <f t="shared" si="22"/>
        <v>314</v>
      </c>
      <c r="G205" s="3">
        <v>314</v>
      </c>
      <c r="H205" s="3">
        <f t="shared" si="23"/>
        <v>0</v>
      </c>
      <c r="I205" s="21">
        <f t="shared" si="24"/>
        <v>0</v>
      </c>
    </row>
    <row r="206" spans="1:9" ht="13.5">
      <c r="A206" s="1">
        <v>4</v>
      </c>
      <c r="B206" s="2" t="s">
        <v>203</v>
      </c>
      <c r="C206" s="3">
        <v>439</v>
      </c>
      <c r="D206" s="3"/>
      <c r="E206" s="3">
        <v>5</v>
      </c>
      <c r="F206" s="3">
        <f t="shared" si="22"/>
        <v>434</v>
      </c>
      <c r="G206" s="3">
        <v>441</v>
      </c>
      <c r="H206" s="3">
        <f t="shared" si="23"/>
        <v>-7</v>
      </c>
      <c r="I206" s="21">
        <f t="shared" si="24"/>
        <v>1.1797752808988764</v>
      </c>
    </row>
    <row r="207" spans="1:9" ht="13.5">
      <c r="A207" s="1">
        <v>5</v>
      </c>
      <c r="B207" s="2" t="s">
        <v>204</v>
      </c>
      <c r="C207" s="3">
        <v>354</v>
      </c>
      <c r="D207" s="3"/>
      <c r="E207" s="3"/>
      <c r="F207" s="3">
        <f t="shared" si="22"/>
        <v>354</v>
      </c>
      <c r="G207" s="3">
        <v>354</v>
      </c>
      <c r="H207" s="3">
        <f t="shared" si="23"/>
        <v>0</v>
      </c>
      <c r="I207" s="21">
        <f t="shared" si="24"/>
        <v>0</v>
      </c>
    </row>
    <row r="208" spans="1:9" ht="13.5">
      <c r="A208" s="1">
        <v>6</v>
      </c>
      <c r="B208" s="2" t="s">
        <v>205</v>
      </c>
      <c r="C208" s="3">
        <v>471</v>
      </c>
      <c r="D208" s="3">
        <v>1</v>
      </c>
      <c r="E208" s="3">
        <v>4</v>
      </c>
      <c r="F208" s="3">
        <f t="shared" si="22"/>
        <v>466</v>
      </c>
      <c r="G208" s="3">
        <v>476</v>
      </c>
      <c r="H208" s="3">
        <f t="shared" si="23"/>
        <v>-10</v>
      </c>
      <c r="I208" s="21">
        <f t="shared" si="24"/>
        <v>1.6853932584269662</v>
      </c>
    </row>
    <row r="209" spans="1:9" ht="13.5">
      <c r="A209" s="1">
        <v>7</v>
      </c>
      <c r="B209" s="2" t="s">
        <v>206</v>
      </c>
      <c r="C209" s="3">
        <v>574</v>
      </c>
      <c r="D209" s="3">
        <v>3</v>
      </c>
      <c r="E209" s="3">
        <v>6</v>
      </c>
      <c r="F209" s="3">
        <f t="shared" si="22"/>
        <v>565</v>
      </c>
      <c r="G209" s="3">
        <v>565</v>
      </c>
      <c r="H209" s="3">
        <f t="shared" si="23"/>
        <v>0</v>
      </c>
      <c r="I209" s="21">
        <f t="shared" si="24"/>
        <v>0</v>
      </c>
    </row>
    <row r="210" spans="1:9" ht="13.5">
      <c r="A210" s="1">
        <v>8</v>
      </c>
      <c r="B210" s="2" t="s">
        <v>207</v>
      </c>
      <c r="C210" s="3">
        <v>323</v>
      </c>
      <c r="D210" s="3">
        <v>4</v>
      </c>
      <c r="E210" s="3">
        <v>2</v>
      </c>
      <c r="F210" s="3">
        <f t="shared" si="22"/>
        <v>317</v>
      </c>
      <c r="G210" s="3">
        <v>317</v>
      </c>
      <c r="H210" s="3">
        <f t="shared" si="23"/>
        <v>0</v>
      </c>
      <c r="I210" s="21">
        <f t="shared" si="24"/>
        <v>0</v>
      </c>
    </row>
    <row r="211" spans="1:9" ht="13.5">
      <c r="A211" s="1">
        <v>9</v>
      </c>
      <c r="B211" s="2" t="s">
        <v>208</v>
      </c>
      <c r="C211" s="3">
        <v>613</v>
      </c>
      <c r="D211" s="3">
        <v>2</v>
      </c>
      <c r="E211" s="3">
        <v>4</v>
      </c>
      <c r="F211" s="3">
        <f t="shared" si="22"/>
        <v>607</v>
      </c>
      <c r="G211" s="3">
        <v>607</v>
      </c>
      <c r="H211" s="3">
        <f t="shared" si="23"/>
        <v>0</v>
      </c>
      <c r="I211" s="21">
        <f t="shared" si="24"/>
        <v>0</v>
      </c>
    </row>
    <row r="212" spans="1:9" ht="13.5">
      <c r="A212" s="1">
        <v>10</v>
      </c>
      <c r="B212" s="2" t="s">
        <v>209</v>
      </c>
      <c r="C212" s="3">
        <v>581</v>
      </c>
      <c r="D212" s="3">
        <v>3</v>
      </c>
      <c r="E212" s="3">
        <v>6</v>
      </c>
      <c r="F212" s="3">
        <f t="shared" si="22"/>
        <v>572</v>
      </c>
      <c r="G212" s="3">
        <v>572</v>
      </c>
      <c r="H212" s="3">
        <f t="shared" si="23"/>
        <v>0</v>
      </c>
      <c r="I212" s="21">
        <f t="shared" si="24"/>
        <v>0</v>
      </c>
    </row>
    <row r="213" spans="1:9" ht="13.5">
      <c r="A213" s="1">
        <v>11</v>
      </c>
      <c r="B213" s="2" t="s">
        <v>210</v>
      </c>
      <c r="C213" s="3">
        <v>197</v>
      </c>
      <c r="D213" s="3"/>
      <c r="E213" s="3">
        <v>3</v>
      </c>
      <c r="F213" s="3">
        <f t="shared" si="22"/>
        <v>194</v>
      </c>
      <c r="G213" s="3">
        <v>210</v>
      </c>
      <c r="H213" s="3">
        <f t="shared" si="23"/>
        <v>-16</v>
      </c>
      <c r="I213" s="21">
        <f t="shared" si="24"/>
        <v>2.6966292134831464</v>
      </c>
    </row>
    <row r="214" spans="1:9" ht="13.5">
      <c r="A214" s="1">
        <v>12</v>
      </c>
      <c r="B214" s="2" t="s">
        <v>211</v>
      </c>
      <c r="C214" s="3">
        <v>216</v>
      </c>
      <c r="D214" s="3"/>
      <c r="E214" s="3">
        <v>4</v>
      </c>
      <c r="F214" s="3">
        <f t="shared" si="22"/>
        <v>212</v>
      </c>
      <c r="G214" s="3">
        <v>262</v>
      </c>
      <c r="H214" s="3">
        <f t="shared" si="23"/>
        <v>-50</v>
      </c>
      <c r="I214" s="21">
        <f t="shared" si="24"/>
        <v>8.426966292134832</v>
      </c>
    </row>
    <row r="215" spans="1:9" ht="13.5">
      <c r="A215" s="1">
        <v>13</v>
      </c>
      <c r="B215" s="2" t="s">
        <v>212</v>
      </c>
      <c r="C215" s="3">
        <v>181</v>
      </c>
      <c r="D215" s="3"/>
      <c r="E215" s="3">
        <v>1</v>
      </c>
      <c r="F215" s="3">
        <f t="shared" si="22"/>
        <v>180</v>
      </c>
      <c r="G215" s="3">
        <v>180</v>
      </c>
      <c r="H215" s="3">
        <f t="shared" si="23"/>
        <v>0</v>
      </c>
      <c r="I215" s="21">
        <f t="shared" si="24"/>
        <v>0</v>
      </c>
    </row>
    <row r="216" spans="1:9" ht="13.5">
      <c r="A216" s="1">
        <v>14</v>
      </c>
      <c r="B216" s="2" t="s">
        <v>213</v>
      </c>
      <c r="C216" s="3">
        <v>307</v>
      </c>
      <c r="D216" s="3">
        <v>1</v>
      </c>
      <c r="E216" s="3">
        <v>1</v>
      </c>
      <c r="F216" s="3">
        <f t="shared" si="22"/>
        <v>305</v>
      </c>
      <c r="G216" s="3">
        <v>305</v>
      </c>
      <c r="H216" s="3">
        <f t="shared" si="23"/>
        <v>0</v>
      </c>
      <c r="I216" s="21">
        <f t="shared" si="24"/>
        <v>0</v>
      </c>
    </row>
    <row r="217" spans="1:9" ht="13.5">
      <c r="A217" s="1">
        <v>15</v>
      </c>
      <c r="B217" s="2" t="s">
        <v>214</v>
      </c>
      <c r="C217" s="3">
        <v>552</v>
      </c>
      <c r="D217" s="3">
        <v>3</v>
      </c>
      <c r="E217" s="3">
        <v>4</v>
      </c>
      <c r="F217" s="3">
        <f t="shared" si="22"/>
        <v>545</v>
      </c>
      <c r="G217" s="3">
        <v>545</v>
      </c>
      <c r="H217" s="3">
        <f t="shared" si="23"/>
        <v>0</v>
      </c>
      <c r="I217" s="21">
        <f t="shared" si="24"/>
        <v>0</v>
      </c>
    </row>
    <row r="218" spans="1:9" ht="13.5">
      <c r="A218" s="1">
        <v>16</v>
      </c>
      <c r="B218" s="2" t="s">
        <v>215</v>
      </c>
      <c r="C218" s="3">
        <v>403</v>
      </c>
      <c r="D218" s="3"/>
      <c r="E218" s="3">
        <v>2</v>
      </c>
      <c r="F218" s="3">
        <f t="shared" si="22"/>
        <v>401</v>
      </c>
      <c r="G218" s="3">
        <v>401</v>
      </c>
      <c r="H218" s="3">
        <f t="shared" si="23"/>
        <v>0</v>
      </c>
      <c r="I218" s="21">
        <f t="shared" si="24"/>
        <v>0</v>
      </c>
    </row>
    <row r="219" spans="1:9" ht="13.5">
      <c r="A219" s="1">
        <v>17</v>
      </c>
      <c r="B219" s="2" t="s">
        <v>216</v>
      </c>
      <c r="C219" s="3">
        <v>408</v>
      </c>
      <c r="D219" s="3">
        <v>1</v>
      </c>
      <c r="E219" s="3">
        <v>3</v>
      </c>
      <c r="F219" s="3">
        <f t="shared" si="22"/>
        <v>404</v>
      </c>
      <c r="G219" s="3">
        <v>404</v>
      </c>
      <c r="H219" s="3">
        <f t="shared" si="23"/>
        <v>0</v>
      </c>
      <c r="I219" s="21">
        <f t="shared" si="24"/>
        <v>0</v>
      </c>
    </row>
    <row r="220" spans="1:9" ht="13.5">
      <c r="A220" s="1">
        <v>18</v>
      </c>
      <c r="B220" s="2" t="s">
        <v>217</v>
      </c>
      <c r="C220" s="3">
        <v>536</v>
      </c>
      <c r="D220" s="3">
        <v>1</v>
      </c>
      <c r="E220" s="3">
        <v>6</v>
      </c>
      <c r="F220" s="3">
        <f t="shared" si="22"/>
        <v>529</v>
      </c>
      <c r="G220" s="3">
        <v>529</v>
      </c>
      <c r="H220" s="3">
        <f t="shared" si="23"/>
        <v>0</v>
      </c>
      <c r="I220" s="21">
        <f t="shared" si="24"/>
        <v>0</v>
      </c>
    </row>
    <row r="221" spans="1:9" ht="13.5">
      <c r="A221" s="1">
        <v>19</v>
      </c>
      <c r="B221" s="2" t="s">
        <v>218</v>
      </c>
      <c r="C221" s="3">
        <v>362</v>
      </c>
      <c r="D221" s="3">
        <v>2</v>
      </c>
      <c r="E221" s="3">
        <v>4</v>
      </c>
      <c r="F221" s="3">
        <f t="shared" si="22"/>
        <v>356</v>
      </c>
      <c r="G221" s="3">
        <v>356</v>
      </c>
      <c r="H221" s="3">
        <f t="shared" si="23"/>
        <v>0</v>
      </c>
      <c r="I221" s="21">
        <f t="shared" si="24"/>
        <v>0</v>
      </c>
    </row>
    <row r="222" spans="1:9" ht="13.5">
      <c r="A222" s="1">
        <v>20</v>
      </c>
      <c r="B222" s="2" t="s">
        <v>219</v>
      </c>
      <c r="C222" s="3">
        <v>499</v>
      </c>
      <c r="D222" s="3">
        <v>2</v>
      </c>
      <c r="E222" s="3">
        <v>3</v>
      </c>
      <c r="F222" s="3">
        <f t="shared" si="22"/>
        <v>494</v>
      </c>
      <c r="G222" s="3">
        <v>494</v>
      </c>
      <c r="H222" s="3">
        <f t="shared" si="23"/>
        <v>0</v>
      </c>
      <c r="I222" s="21">
        <f t="shared" si="24"/>
        <v>0</v>
      </c>
    </row>
    <row r="223" spans="1:9" ht="13.5">
      <c r="A223" s="1">
        <v>21</v>
      </c>
      <c r="B223" s="2" t="s">
        <v>220</v>
      </c>
      <c r="C223" s="3">
        <v>300</v>
      </c>
      <c r="D223" s="3">
        <v>2</v>
      </c>
      <c r="E223" s="3">
        <v>3</v>
      </c>
      <c r="F223" s="3">
        <f t="shared" si="22"/>
        <v>295</v>
      </c>
      <c r="G223" s="3">
        <v>296</v>
      </c>
      <c r="H223" s="3">
        <f t="shared" si="23"/>
        <v>-1</v>
      </c>
      <c r="I223" s="21">
        <f t="shared" si="24"/>
        <v>0.16853932584269665</v>
      </c>
    </row>
    <row r="224" spans="1:9" ht="13.5">
      <c r="A224" s="1">
        <v>22</v>
      </c>
      <c r="B224" s="2" t="s">
        <v>221</v>
      </c>
      <c r="C224" s="3">
        <v>425</v>
      </c>
      <c r="D224" s="3">
        <v>2</v>
      </c>
      <c r="E224" s="3">
        <v>4</v>
      </c>
      <c r="F224" s="3">
        <f t="shared" si="22"/>
        <v>419</v>
      </c>
      <c r="G224" s="3">
        <v>419</v>
      </c>
      <c r="H224" s="3">
        <f t="shared" si="23"/>
        <v>0</v>
      </c>
      <c r="I224" s="21">
        <f t="shared" si="24"/>
        <v>0</v>
      </c>
    </row>
    <row r="225" spans="1:9" ht="13.5">
      <c r="A225" s="1">
        <v>23</v>
      </c>
      <c r="B225" s="2" t="s">
        <v>222</v>
      </c>
      <c r="C225" s="3">
        <v>273</v>
      </c>
      <c r="D225" s="3">
        <v>1</v>
      </c>
      <c r="E225" s="3"/>
      <c r="F225" s="3">
        <f t="shared" si="22"/>
        <v>272</v>
      </c>
      <c r="G225" s="3">
        <v>272</v>
      </c>
      <c r="H225" s="3">
        <f t="shared" si="23"/>
        <v>0</v>
      </c>
      <c r="I225" s="21">
        <f t="shared" si="24"/>
        <v>0</v>
      </c>
    </row>
    <row r="226" spans="1:9" ht="13.5">
      <c r="A226" s="1">
        <v>24</v>
      </c>
      <c r="B226" s="2" t="s">
        <v>223</v>
      </c>
      <c r="C226" s="3">
        <v>600</v>
      </c>
      <c r="D226" s="3">
        <v>2</v>
      </c>
      <c r="E226" s="3">
        <v>2</v>
      </c>
      <c r="F226" s="3">
        <f t="shared" si="22"/>
        <v>596</v>
      </c>
      <c r="G226" s="3">
        <v>596</v>
      </c>
      <c r="H226" s="3">
        <f t="shared" si="23"/>
        <v>0</v>
      </c>
      <c r="I226" s="21">
        <f t="shared" si="24"/>
        <v>0</v>
      </c>
    </row>
    <row r="227" spans="1:9" ht="13.5">
      <c r="A227" s="1">
        <v>25</v>
      </c>
      <c r="B227" s="2" t="s">
        <v>224</v>
      </c>
      <c r="C227" s="3">
        <v>383</v>
      </c>
      <c r="D227" s="3"/>
      <c r="E227" s="3"/>
      <c r="F227" s="3">
        <f t="shared" si="22"/>
        <v>383</v>
      </c>
      <c r="G227" s="3">
        <v>383</v>
      </c>
      <c r="H227" s="3">
        <f t="shared" si="23"/>
        <v>0</v>
      </c>
      <c r="I227" s="21">
        <f t="shared" si="24"/>
        <v>0</v>
      </c>
    </row>
    <row r="228" spans="1:9" ht="13.5">
      <c r="A228" s="1">
        <v>26</v>
      </c>
      <c r="B228" s="2" t="s">
        <v>225</v>
      </c>
      <c r="C228" s="3">
        <v>356</v>
      </c>
      <c r="D228" s="3">
        <v>2</v>
      </c>
      <c r="E228" s="3">
        <v>4</v>
      </c>
      <c r="F228" s="3">
        <f t="shared" si="22"/>
        <v>350</v>
      </c>
      <c r="G228" s="3">
        <v>350</v>
      </c>
      <c r="H228" s="3">
        <f t="shared" si="23"/>
        <v>0</v>
      </c>
      <c r="I228" s="21">
        <f t="shared" si="24"/>
        <v>0</v>
      </c>
    </row>
    <row r="229" spans="1:9" ht="13.5">
      <c r="A229" s="1">
        <v>27</v>
      </c>
      <c r="B229" s="2" t="s">
        <v>226</v>
      </c>
      <c r="C229" s="3">
        <v>136</v>
      </c>
      <c r="D229" s="3"/>
      <c r="E229" s="3"/>
      <c r="F229" s="3">
        <f t="shared" si="22"/>
        <v>136</v>
      </c>
      <c r="G229" s="3">
        <v>148</v>
      </c>
      <c r="H229" s="3">
        <f t="shared" si="23"/>
        <v>-12</v>
      </c>
      <c r="I229" s="21">
        <f t="shared" si="24"/>
        <v>2.0224719101123596</v>
      </c>
    </row>
    <row r="230" spans="1:9" ht="13.5">
      <c r="A230" s="1">
        <v>28</v>
      </c>
      <c r="B230" s="2" t="s">
        <v>227</v>
      </c>
      <c r="C230" s="3">
        <v>298</v>
      </c>
      <c r="D230" s="3">
        <v>1</v>
      </c>
      <c r="E230" s="3">
        <v>3</v>
      </c>
      <c r="F230" s="3">
        <f t="shared" si="22"/>
        <v>294</v>
      </c>
      <c r="G230" s="3">
        <v>513</v>
      </c>
      <c r="H230" s="3">
        <f t="shared" si="23"/>
        <v>-219</v>
      </c>
      <c r="I230" s="21">
        <f t="shared" si="24"/>
        <v>36.91011235955056</v>
      </c>
    </row>
    <row r="231" spans="1:9" ht="13.5">
      <c r="A231" s="1">
        <v>29</v>
      </c>
      <c r="B231" s="2" t="s">
        <v>228</v>
      </c>
      <c r="C231" s="3">
        <v>182</v>
      </c>
      <c r="D231" s="3">
        <v>1</v>
      </c>
      <c r="E231" s="3">
        <v>2</v>
      </c>
      <c r="F231" s="3">
        <f t="shared" si="22"/>
        <v>179</v>
      </c>
      <c r="G231" s="3">
        <v>179</v>
      </c>
      <c r="H231" s="3">
        <f t="shared" si="23"/>
        <v>0</v>
      </c>
      <c r="I231" s="21">
        <f t="shared" si="24"/>
        <v>0</v>
      </c>
    </row>
    <row r="232" spans="1:9" ht="13.5">
      <c r="A232" s="1">
        <v>30</v>
      </c>
      <c r="B232" s="2" t="s">
        <v>229</v>
      </c>
      <c r="C232" s="3">
        <v>419</v>
      </c>
      <c r="D232" s="3">
        <v>2</v>
      </c>
      <c r="E232" s="3">
        <v>4</v>
      </c>
      <c r="F232" s="3">
        <f t="shared" si="22"/>
        <v>413</v>
      </c>
      <c r="G232" s="3">
        <v>491</v>
      </c>
      <c r="H232" s="3">
        <f t="shared" si="23"/>
        <v>-78</v>
      </c>
      <c r="I232" s="21">
        <f t="shared" si="24"/>
        <v>13.146067415730338</v>
      </c>
    </row>
    <row r="233" spans="1:9" ht="13.5">
      <c r="A233" s="1">
        <v>31</v>
      </c>
      <c r="B233" s="2" t="s">
        <v>230</v>
      </c>
      <c r="C233" s="3">
        <v>176</v>
      </c>
      <c r="D233" s="3"/>
      <c r="E233" s="3">
        <v>4</v>
      </c>
      <c r="F233" s="3">
        <f t="shared" si="22"/>
        <v>172</v>
      </c>
      <c r="G233" s="3">
        <v>172</v>
      </c>
      <c r="H233" s="3">
        <f t="shared" si="23"/>
        <v>0</v>
      </c>
      <c r="I233" s="21">
        <f t="shared" si="24"/>
        <v>0</v>
      </c>
    </row>
    <row r="234" spans="1:9" ht="13.5">
      <c r="A234" s="1">
        <v>32</v>
      </c>
      <c r="B234" s="2" t="s">
        <v>231</v>
      </c>
      <c r="C234" s="3">
        <v>726</v>
      </c>
      <c r="D234" s="3">
        <v>4</v>
      </c>
      <c r="E234" s="3">
        <v>11</v>
      </c>
      <c r="F234" s="3">
        <f t="shared" si="22"/>
        <v>711</v>
      </c>
      <c r="G234" s="3">
        <v>711</v>
      </c>
      <c r="H234" s="3">
        <f t="shared" si="23"/>
        <v>0</v>
      </c>
      <c r="I234" s="21">
        <f t="shared" si="24"/>
        <v>0</v>
      </c>
    </row>
    <row r="235" spans="1:9" ht="13.5">
      <c r="A235" s="1">
        <v>33</v>
      </c>
      <c r="B235" s="2" t="s">
        <v>232</v>
      </c>
      <c r="C235" s="3">
        <v>146</v>
      </c>
      <c r="D235" s="3">
        <v>1</v>
      </c>
      <c r="E235" s="3">
        <v>2</v>
      </c>
      <c r="F235" s="3">
        <f t="shared" si="22"/>
        <v>143</v>
      </c>
      <c r="G235" s="3">
        <v>173</v>
      </c>
      <c r="H235" s="3">
        <f t="shared" si="23"/>
        <v>-30</v>
      </c>
      <c r="I235" s="21">
        <f t="shared" si="24"/>
        <v>5.056179775280898</v>
      </c>
    </row>
    <row r="236" spans="1:9" ht="13.5">
      <c r="A236" s="1">
        <v>34</v>
      </c>
      <c r="B236" s="2" t="s">
        <v>233</v>
      </c>
      <c r="C236" s="3">
        <v>162</v>
      </c>
      <c r="D236" s="3">
        <v>1</v>
      </c>
      <c r="E236" s="3">
        <v>2</v>
      </c>
      <c r="F236" s="3">
        <f t="shared" si="22"/>
        <v>159</v>
      </c>
      <c r="G236" s="3">
        <v>171</v>
      </c>
      <c r="H236" s="3">
        <f t="shared" si="23"/>
        <v>-12</v>
      </c>
      <c r="I236" s="21">
        <f t="shared" si="24"/>
        <v>2.0224719101123596</v>
      </c>
    </row>
    <row r="237" spans="1:9" ht="13.5">
      <c r="A237" s="1">
        <v>35</v>
      </c>
      <c r="B237" s="2" t="s">
        <v>234</v>
      </c>
      <c r="C237" s="3">
        <v>169</v>
      </c>
      <c r="D237" s="3"/>
      <c r="E237" s="3">
        <v>1</v>
      </c>
      <c r="F237" s="3">
        <f t="shared" si="22"/>
        <v>168</v>
      </c>
      <c r="G237" s="3">
        <v>168</v>
      </c>
      <c r="H237" s="3">
        <f t="shared" si="23"/>
        <v>0</v>
      </c>
      <c r="I237" s="21">
        <f t="shared" si="24"/>
        <v>0</v>
      </c>
    </row>
    <row r="238" spans="1:9" ht="13.5">
      <c r="A238" s="1">
        <v>36</v>
      </c>
      <c r="B238" s="2" t="s">
        <v>235</v>
      </c>
      <c r="C238" s="3">
        <v>306</v>
      </c>
      <c r="D238" s="3">
        <v>2</v>
      </c>
      <c r="E238" s="3">
        <v>5</v>
      </c>
      <c r="F238" s="3">
        <f t="shared" si="22"/>
        <v>299</v>
      </c>
      <c r="G238" s="3">
        <v>299</v>
      </c>
      <c r="H238" s="3">
        <f t="shared" si="23"/>
        <v>0</v>
      </c>
      <c r="I238" s="21">
        <f t="shared" si="24"/>
        <v>0</v>
      </c>
    </row>
    <row r="239" spans="1:9" ht="13.5">
      <c r="A239" s="1">
        <v>37</v>
      </c>
      <c r="B239" s="2" t="s">
        <v>236</v>
      </c>
      <c r="C239" s="3">
        <v>1475</v>
      </c>
      <c r="D239" s="3">
        <v>12</v>
      </c>
      <c r="E239" s="3">
        <v>37</v>
      </c>
      <c r="F239" s="3">
        <f t="shared" si="22"/>
        <v>1426</v>
      </c>
      <c r="G239" s="3">
        <v>1426</v>
      </c>
      <c r="H239" s="3">
        <f t="shared" si="23"/>
        <v>0</v>
      </c>
      <c r="I239" s="21">
        <f t="shared" si="24"/>
        <v>0</v>
      </c>
    </row>
    <row r="240" spans="1:9" ht="13.5">
      <c r="A240" s="1">
        <v>38</v>
      </c>
      <c r="B240" s="2" t="s">
        <v>237</v>
      </c>
      <c r="C240" s="3">
        <v>120</v>
      </c>
      <c r="D240" s="3"/>
      <c r="E240" s="3">
        <v>2</v>
      </c>
      <c r="F240" s="3">
        <f t="shared" si="22"/>
        <v>118</v>
      </c>
      <c r="G240" s="3">
        <v>118</v>
      </c>
      <c r="H240" s="3">
        <f t="shared" si="23"/>
        <v>0</v>
      </c>
      <c r="I240" s="21">
        <f t="shared" si="24"/>
        <v>0</v>
      </c>
    </row>
    <row r="241" spans="1:9" ht="13.5">
      <c r="A241" s="14" t="s">
        <v>463</v>
      </c>
      <c r="B241" s="15" t="s">
        <v>238</v>
      </c>
      <c r="C241" s="16">
        <f>SUM(C242:C247)</f>
        <v>1897</v>
      </c>
      <c r="D241" s="16">
        <f>SUM(D242:D247)</f>
        <v>3</v>
      </c>
      <c r="E241" s="16">
        <f>SUM(E242:E247)</f>
        <v>14</v>
      </c>
      <c r="F241" s="16">
        <f t="shared" si="22"/>
        <v>1880</v>
      </c>
      <c r="G241" s="16">
        <f>SUM(G242:G247)</f>
        <v>2046</v>
      </c>
      <c r="H241" s="16">
        <f>SUM(H242:H247)</f>
        <v>-166</v>
      </c>
      <c r="I241" s="23">
        <f>H241/-16804*2819</f>
        <v>27.84777433944299</v>
      </c>
    </row>
    <row r="242" spans="1:9" ht="13.5">
      <c r="A242" s="1">
        <v>1</v>
      </c>
      <c r="B242" s="2" t="s">
        <v>239</v>
      </c>
      <c r="C242" s="3">
        <v>296</v>
      </c>
      <c r="D242" s="3"/>
      <c r="E242" s="3">
        <v>1</v>
      </c>
      <c r="F242" s="3">
        <f t="shared" si="22"/>
        <v>295</v>
      </c>
      <c r="G242" s="3">
        <v>295</v>
      </c>
      <c r="H242" s="3">
        <f aca="true" t="shared" si="25" ref="H242:H247">F242-G242</f>
        <v>0</v>
      </c>
      <c r="I242" s="21">
        <f aca="true" t="shared" si="26" ref="I242:I247">H242/-166*28</f>
        <v>0</v>
      </c>
    </row>
    <row r="243" spans="1:9" ht="13.5">
      <c r="A243" s="1">
        <v>2</v>
      </c>
      <c r="B243" s="2" t="s">
        <v>240</v>
      </c>
      <c r="C243" s="3">
        <v>275</v>
      </c>
      <c r="D243" s="3">
        <v>1</v>
      </c>
      <c r="E243" s="3">
        <v>1</v>
      </c>
      <c r="F243" s="3">
        <f t="shared" si="22"/>
        <v>273</v>
      </c>
      <c r="G243" s="3">
        <v>427</v>
      </c>
      <c r="H243" s="3">
        <f t="shared" si="25"/>
        <v>-154</v>
      </c>
      <c r="I243" s="21">
        <f t="shared" si="26"/>
        <v>25.97590361445783</v>
      </c>
    </row>
    <row r="244" spans="1:9" ht="13.5">
      <c r="A244" s="1">
        <v>3</v>
      </c>
      <c r="B244" s="2" t="s">
        <v>241</v>
      </c>
      <c r="C244" s="3">
        <v>457</v>
      </c>
      <c r="D244" s="3">
        <v>1</v>
      </c>
      <c r="E244" s="3">
        <v>1</v>
      </c>
      <c r="F244" s="3">
        <f t="shared" si="22"/>
        <v>455</v>
      </c>
      <c r="G244" s="3">
        <v>467</v>
      </c>
      <c r="H244" s="3">
        <f t="shared" si="25"/>
        <v>-12</v>
      </c>
      <c r="I244" s="21">
        <f t="shared" si="26"/>
        <v>2.0240963855421685</v>
      </c>
    </row>
    <row r="245" spans="1:9" ht="13.5">
      <c r="A245" s="1">
        <v>4</v>
      </c>
      <c r="B245" s="2" t="s">
        <v>242</v>
      </c>
      <c r="C245" s="3">
        <v>413</v>
      </c>
      <c r="D245" s="3"/>
      <c r="E245" s="3">
        <v>4</v>
      </c>
      <c r="F245" s="3">
        <f t="shared" si="22"/>
        <v>409</v>
      </c>
      <c r="G245" s="3">
        <v>409</v>
      </c>
      <c r="H245" s="3">
        <f t="shared" si="25"/>
        <v>0</v>
      </c>
      <c r="I245" s="21">
        <f t="shared" si="26"/>
        <v>0</v>
      </c>
    </row>
    <row r="246" spans="1:9" ht="13.5">
      <c r="A246" s="1">
        <v>5</v>
      </c>
      <c r="B246" s="2" t="s">
        <v>243</v>
      </c>
      <c r="C246" s="3">
        <v>368</v>
      </c>
      <c r="D246" s="3">
        <v>1</v>
      </c>
      <c r="E246" s="3">
        <v>7</v>
      </c>
      <c r="F246" s="3">
        <f t="shared" si="22"/>
        <v>360</v>
      </c>
      <c r="G246" s="3">
        <v>360</v>
      </c>
      <c r="H246" s="3">
        <f t="shared" si="25"/>
        <v>0</v>
      </c>
      <c r="I246" s="21">
        <f t="shared" si="26"/>
        <v>0</v>
      </c>
    </row>
    <row r="247" spans="1:9" ht="13.5">
      <c r="A247" s="1">
        <v>6</v>
      </c>
      <c r="B247" s="2" t="s">
        <v>244</v>
      </c>
      <c r="C247" s="3">
        <v>88</v>
      </c>
      <c r="D247" s="3"/>
      <c r="E247" s="3"/>
      <c r="F247" s="3">
        <f t="shared" si="22"/>
        <v>88</v>
      </c>
      <c r="G247" s="3">
        <v>88</v>
      </c>
      <c r="H247" s="3">
        <f t="shared" si="25"/>
        <v>0</v>
      </c>
      <c r="I247" s="21">
        <f t="shared" si="26"/>
        <v>0</v>
      </c>
    </row>
    <row r="248" spans="1:9" ht="13.5">
      <c r="A248" s="14" t="s">
        <v>464</v>
      </c>
      <c r="B248" s="15" t="s">
        <v>245</v>
      </c>
      <c r="C248" s="16">
        <f>SUM(C249:C257)</f>
        <v>3545</v>
      </c>
      <c r="D248" s="16">
        <f>SUM(D249:D257)</f>
        <v>3</v>
      </c>
      <c r="E248" s="16">
        <f>SUM(E249:E257)</f>
        <v>22</v>
      </c>
      <c r="F248" s="16">
        <f t="shared" si="22"/>
        <v>3520</v>
      </c>
      <c r="G248" s="16">
        <f>SUM(G249:G257)</f>
        <v>3687</v>
      </c>
      <c r="H248" s="16">
        <f>SUM(H249:H257)</f>
        <v>-167</v>
      </c>
      <c r="I248" s="23">
        <f>H248/-16804*2819</f>
        <v>28.015532016186622</v>
      </c>
    </row>
    <row r="249" spans="1:9" ht="13.5">
      <c r="A249" s="1">
        <v>1</v>
      </c>
      <c r="B249" s="2" t="s">
        <v>246</v>
      </c>
      <c r="C249" s="3">
        <v>242</v>
      </c>
      <c r="D249" s="3"/>
      <c r="E249" s="3"/>
      <c r="F249" s="3">
        <f t="shared" si="22"/>
        <v>242</v>
      </c>
      <c r="G249" s="3">
        <v>242</v>
      </c>
      <c r="H249" s="3">
        <f aca="true" t="shared" si="27" ref="H249:H257">F249-G249</f>
        <v>0</v>
      </c>
      <c r="I249" s="21">
        <f>H249/-167*28</f>
        <v>0</v>
      </c>
    </row>
    <row r="250" spans="1:9" ht="13.5">
      <c r="A250" s="1">
        <v>2</v>
      </c>
      <c r="B250" s="2" t="s">
        <v>247</v>
      </c>
      <c r="C250" s="3">
        <v>582</v>
      </c>
      <c r="D250" s="3">
        <v>1</v>
      </c>
      <c r="E250" s="3">
        <v>2</v>
      </c>
      <c r="F250" s="3">
        <f t="shared" si="22"/>
        <v>579</v>
      </c>
      <c r="G250" s="3">
        <v>579</v>
      </c>
      <c r="H250" s="3">
        <f t="shared" si="27"/>
        <v>0</v>
      </c>
      <c r="I250" s="21">
        <f aca="true" t="shared" si="28" ref="I250:I257">H250/-167*28</f>
        <v>0</v>
      </c>
    </row>
    <row r="251" spans="1:9" ht="13.5">
      <c r="A251" s="1">
        <v>3</v>
      </c>
      <c r="B251" s="2" t="s">
        <v>248</v>
      </c>
      <c r="C251" s="3">
        <v>363</v>
      </c>
      <c r="D251" s="3"/>
      <c r="E251" s="3"/>
      <c r="F251" s="3">
        <f t="shared" si="22"/>
        <v>363</v>
      </c>
      <c r="G251" s="3">
        <v>363</v>
      </c>
      <c r="H251" s="3">
        <f t="shared" si="27"/>
        <v>0</v>
      </c>
      <c r="I251" s="21">
        <f t="shared" si="28"/>
        <v>0</v>
      </c>
    </row>
    <row r="252" spans="1:9" ht="13.5">
      <c r="A252" s="1">
        <v>4</v>
      </c>
      <c r="B252" s="2" t="s">
        <v>249</v>
      </c>
      <c r="C252" s="3">
        <v>354</v>
      </c>
      <c r="D252" s="3"/>
      <c r="E252" s="3">
        <v>1</v>
      </c>
      <c r="F252" s="3">
        <f t="shared" si="22"/>
        <v>353</v>
      </c>
      <c r="G252" s="3">
        <v>353</v>
      </c>
      <c r="H252" s="3">
        <f t="shared" si="27"/>
        <v>0</v>
      </c>
      <c r="I252" s="21">
        <f t="shared" si="28"/>
        <v>0</v>
      </c>
    </row>
    <row r="253" spans="1:9" ht="13.5">
      <c r="A253" s="1">
        <v>5</v>
      </c>
      <c r="B253" s="2" t="s">
        <v>250</v>
      </c>
      <c r="C253" s="3">
        <v>257</v>
      </c>
      <c r="D253" s="3"/>
      <c r="E253" s="3">
        <v>3</v>
      </c>
      <c r="F253" s="3">
        <f t="shared" si="22"/>
        <v>254</v>
      </c>
      <c r="G253" s="3">
        <v>278</v>
      </c>
      <c r="H253" s="3">
        <f t="shared" si="27"/>
        <v>-24</v>
      </c>
      <c r="I253" s="21">
        <f t="shared" si="28"/>
        <v>4.023952095808383</v>
      </c>
    </row>
    <row r="254" spans="1:9" ht="13.5">
      <c r="A254" s="1">
        <v>6</v>
      </c>
      <c r="B254" s="2" t="s">
        <v>251</v>
      </c>
      <c r="C254" s="3">
        <v>183</v>
      </c>
      <c r="D254" s="3"/>
      <c r="E254" s="3"/>
      <c r="F254" s="3">
        <f t="shared" si="22"/>
        <v>183</v>
      </c>
      <c r="G254" s="3">
        <v>292</v>
      </c>
      <c r="H254" s="3">
        <f t="shared" si="27"/>
        <v>-109</v>
      </c>
      <c r="I254" s="21">
        <f t="shared" si="28"/>
        <v>18.275449101796408</v>
      </c>
    </row>
    <row r="255" spans="1:9" ht="13.5">
      <c r="A255" s="1">
        <v>7</v>
      </c>
      <c r="B255" s="2" t="s">
        <v>252</v>
      </c>
      <c r="C255" s="3">
        <v>242</v>
      </c>
      <c r="D255" s="3"/>
      <c r="E255" s="3">
        <v>1</v>
      </c>
      <c r="F255" s="3">
        <f t="shared" si="22"/>
        <v>241</v>
      </c>
      <c r="G255" s="3">
        <v>275</v>
      </c>
      <c r="H255" s="3">
        <f t="shared" si="27"/>
        <v>-34</v>
      </c>
      <c r="I255" s="21">
        <f t="shared" si="28"/>
        <v>5.700598802395209</v>
      </c>
    </row>
    <row r="256" spans="1:9" ht="13.5">
      <c r="A256" s="1">
        <v>8</v>
      </c>
      <c r="B256" s="2" t="s">
        <v>253</v>
      </c>
      <c r="C256" s="3">
        <v>733</v>
      </c>
      <c r="D256" s="3">
        <v>1</v>
      </c>
      <c r="E256" s="3">
        <v>5</v>
      </c>
      <c r="F256" s="3">
        <f t="shared" si="22"/>
        <v>727</v>
      </c>
      <c r="G256" s="3">
        <v>727</v>
      </c>
      <c r="H256" s="3">
        <f t="shared" si="27"/>
        <v>0</v>
      </c>
      <c r="I256" s="21">
        <f t="shared" si="28"/>
        <v>0</v>
      </c>
    </row>
    <row r="257" spans="1:9" ht="13.5">
      <c r="A257" s="1">
        <v>9</v>
      </c>
      <c r="B257" s="2" t="s">
        <v>254</v>
      </c>
      <c r="C257" s="3">
        <v>589</v>
      </c>
      <c r="D257" s="3">
        <v>1</v>
      </c>
      <c r="E257" s="3">
        <v>10</v>
      </c>
      <c r="F257" s="3">
        <f t="shared" si="22"/>
        <v>578</v>
      </c>
      <c r="G257" s="3">
        <v>578</v>
      </c>
      <c r="H257" s="3">
        <f t="shared" si="27"/>
        <v>0</v>
      </c>
      <c r="I257" s="21">
        <f t="shared" si="28"/>
        <v>0</v>
      </c>
    </row>
    <row r="258" spans="1:9" ht="13.5">
      <c r="A258" s="14" t="s">
        <v>465</v>
      </c>
      <c r="B258" s="15" t="s">
        <v>255</v>
      </c>
      <c r="C258" s="16">
        <f>SUM(C259:C266)</f>
        <v>2452</v>
      </c>
      <c r="D258" s="16">
        <f>SUM(D259:D266)</f>
        <v>2</v>
      </c>
      <c r="E258" s="16">
        <f>SUM(E259:E266)</f>
        <v>11</v>
      </c>
      <c r="F258" s="16">
        <f t="shared" si="22"/>
        <v>2439</v>
      </c>
      <c r="G258" s="16">
        <f>SUM(G259:G266)</f>
        <v>2788</v>
      </c>
      <c r="H258" s="16">
        <f>SUM(H259:H266)</f>
        <v>-349</v>
      </c>
      <c r="I258" s="23">
        <f>H258/-16804*2819</f>
        <v>58.54742918352773</v>
      </c>
    </row>
    <row r="259" spans="1:9" ht="13.5">
      <c r="A259" s="1">
        <v>1</v>
      </c>
      <c r="B259" s="2" t="s">
        <v>256</v>
      </c>
      <c r="C259" s="3">
        <v>376</v>
      </c>
      <c r="D259" s="3"/>
      <c r="E259" s="3">
        <v>1</v>
      </c>
      <c r="F259" s="3">
        <f t="shared" si="22"/>
        <v>375</v>
      </c>
      <c r="G259" s="3">
        <v>375</v>
      </c>
      <c r="H259" s="3">
        <f aca="true" t="shared" si="29" ref="H259:H266">F259-G259</f>
        <v>0</v>
      </c>
      <c r="I259" s="21">
        <f>H259/349*-59</f>
        <v>0</v>
      </c>
    </row>
    <row r="260" spans="1:9" ht="13.5">
      <c r="A260" s="1">
        <v>2</v>
      </c>
      <c r="B260" s="2" t="s">
        <v>257</v>
      </c>
      <c r="C260" s="3">
        <v>415</v>
      </c>
      <c r="D260" s="3">
        <v>1</v>
      </c>
      <c r="E260" s="3">
        <v>1</v>
      </c>
      <c r="F260" s="3">
        <f t="shared" si="22"/>
        <v>413</v>
      </c>
      <c r="G260" s="3">
        <v>413</v>
      </c>
      <c r="H260" s="3">
        <f t="shared" si="29"/>
        <v>0</v>
      </c>
      <c r="I260" s="21">
        <f aca="true" t="shared" si="30" ref="I260:I266">H260/349*-59</f>
        <v>0</v>
      </c>
    </row>
    <row r="261" spans="1:9" ht="13.5">
      <c r="A261" s="1">
        <v>3</v>
      </c>
      <c r="B261" s="2" t="s">
        <v>258</v>
      </c>
      <c r="C261" s="3">
        <v>420</v>
      </c>
      <c r="D261" s="3"/>
      <c r="E261" s="3">
        <v>1</v>
      </c>
      <c r="F261" s="3">
        <f t="shared" si="22"/>
        <v>419</v>
      </c>
      <c r="G261" s="3">
        <v>419</v>
      </c>
      <c r="H261" s="3">
        <f t="shared" si="29"/>
        <v>0</v>
      </c>
      <c r="I261" s="21">
        <f t="shared" si="30"/>
        <v>0</v>
      </c>
    </row>
    <row r="262" spans="1:9" ht="13.5">
      <c r="A262" s="1">
        <v>4</v>
      </c>
      <c r="B262" s="2" t="s">
        <v>259</v>
      </c>
      <c r="C262" s="3">
        <v>199</v>
      </c>
      <c r="D262" s="3"/>
      <c r="E262" s="3"/>
      <c r="F262" s="3">
        <f t="shared" si="22"/>
        <v>199</v>
      </c>
      <c r="G262" s="3">
        <v>199</v>
      </c>
      <c r="H262" s="3">
        <f t="shared" si="29"/>
        <v>0</v>
      </c>
      <c r="I262" s="21">
        <f t="shared" si="30"/>
        <v>0</v>
      </c>
    </row>
    <row r="263" spans="1:9" ht="13.5">
      <c r="A263" s="1">
        <v>5</v>
      </c>
      <c r="B263" s="2" t="s">
        <v>260</v>
      </c>
      <c r="C263" s="3">
        <v>181</v>
      </c>
      <c r="D263" s="3"/>
      <c r="E263" s="3"/>
      <c r="F263" s="3">
        <f aca="true" t="shared" si="31" ref="F263:F326">C263-E263-D263</f>
        <v>181</v>
      </c>
      <c r="G263" s="3">
        <v>207</v>
      </c>
      <c r="H263" s="3">
        <f t="shared" si="29"/>
        <v>-26</v>
      </c>
      <c r="I263" s="21">
        <f t="shared" si="30"/>
        <v>4.39541547277937</v>
      </c>
    </row>
    <row r="264" spans="1:9" ht="13.5">
      <c r="A264" s="1">
        <v>6</v>
      </c>
      <c r="B264" s="2" t="s">
        <v>261</v>
      </c>
      <c r="C264" s="3">
        <v>267</v>
      </c>
      <c r="D264" s="3">
        <v>1</v>
      </c>
      <c r="E264" s="3">
        <v>2</v>
      </c>
      <c r="F264" s="3">
        <f t="shared" si="31"/>
        <v>264</v>
      </c>
      <c r="G264" s="3">
        <v>587</v>
      </c>
      <c r="H264" s="3">
        <f t="shared" si="29"/>
        <v>-323</v>
      </c>
      <c r="I264" s="21">
        <f t="shared" si="30"/>
        <v>54.60458452722063</v>
      </c>
    </row>
    <row r="265" spans="1:9" ht="13.5">
      <c r="A265" s="1">
        <v>7</v>
      </c>
      <c r="B265" s="2" t="s">
        <v>262</v>
      </c>
      <c r="C265" s="3">
        <v>385</v>
      </c>
      <c r="D265" s="3"/>
      <c r="E265" s="3">
        <v>3</v>
      </c>
      <c r="F265" s="3">
        <f t="shared" si="31"/>
        <v>382</v>
      </c>
      <c r="G265" s="3">
        <v>382</v>
      </c>
      <c r="H265" s="3">
        <f t="shared" si="29"/>
        <v>0</v>
      </c>
      <c r="I265" s="21">
        <f t="shared" si="30"/>
        <v>0</v>
      </c>
    </row>
    <row r="266" spans="1:9" ht="13.5">
      <c r="A266" s="1">
        <v>8</v>
      </c>
      <c r="B266" s="2" t="s">
        <v>263</v>
      </c>
      <c r="C266" s="3">
        <v>209</v>
      </c>
      <c r="D266" s="3"/>
      <c r="E266" s="3">
        <v>3</v>
      </c>
      <c r="F266" s="3">
        <f t="shared" si="31"/>
        <v>206</v>
      </c>
      <c r="G266" s="3">
        <v>206</v>
      </c>
      <c r="H266" s="3">
        <f t="shared" si="29"/>
        <v>0</v>
      </c>
      <c r="I266" s="21">
        <f t="shared" si="30"/>
        <v>0</v>
      </c>
    </row>
    <row r="267" spans="1:9" ht="13.5">
      <c r="A267" s="14" t="s">
        <v>466</v>
      </c>
      <c r="B267" s="15" t="s">
        <v>264</v>
      </c>
      <c r="C267" s="16">
        <f>SUM(C268:C283)</f>
        <v>2479</v>
      </c>
      <c r="D267" s="16">
        <f>SUM(D268:D283)</f>
        <v>4</v>
      </c>
      <c r="E267" s="16">
        <f>SUM(E268:E283)</f>
        <v>13</v>
      </c>
      <c r="F267" s="16">
        <f t="shared" si="31"/>
        <v>2462</v>
      </c>
      <c r="G267" s="16">
        <f>SUM(G268:G283)</f>
        <v>2943</v>
      </c>
      <c r="H267" s="16">
        <f>SUM(H268:H283)</f>
        <v>-481</v>
      </c>
      <c r="I267" s="23">
        <f>H267/-16804*2819</f>
        <v>80.69144251368722</v>
      </c>
    </row>
    <row r="268" spans="1:9" ht="13.5">
      <c r="A268" s="1">
        <v>1</v>
      </c>
      <c r="B268" s="2" t="s">
        <v>265</v>
      </c>
      <c r="C268" s="3">
        <v>139</v>
      </c>
      <c r="D268" s="3"/>
      <c r="E268" s="3">
        <v>2</v>
      </c>
      <c r="F268" s="3">
        <f t="shared" si="31"/>
        <v>137</v>
      </c>
      <c r="G268" s="3">
        <v>137</v>
      </c>
      <c r="H268" s="3">
        <f aca="true" t="shared" si="32" ref="H268:H283">F268-G268</f>
        <v>0</v>
      </c>
      <c r="I268" s="21">
        <f>H268/-481*81</f>
        <v>0</v>
      </c>
    </row>
    <row r="269" spans="1:9" ht="13.5">
      <c r="A269" s="1">
        <v>2</v>
      </c>
      <c r="B269" s="2" t="s">
        <v>266</v>
      </c>
      <c r="C269" s="3">
        <v>110</v>
      </c>
      <c r="D269" s="3"/>
      <c r="E269" s="3">
        <v>1</v>
      </c>
      <c r="F269" s="3">
        <f t="shared" si="31"/>
        <v>109</v>
      </c>
      <c r="G269" s="3">
        <v>109</v>
      </c>
      <c r="H269" s="3">
        <f t="shared" si="32"/>
        <v>0</v>
      </c>
      <c r="I269" s="21">
        <f aca="true" t="shared" si="33" ref="I269:I283">H269/-481*81</f>
        <v>0</v>
      </c>
    </row>
    <row r="270" spans="1:9" ht="13.5">
      <c r="A270" s="1">
        <v>3</v>
      </c>
      <c r="B270" s="2" t="s">
        <v>267</v>
      </c>
      <c r="C270" s="3">
        <v>162</v>
      </c>
      <c r="D270" s="3"/>
      <c r="E270" s="3"/>
      <c r="F270" s="3">
        <f t="shared" si="31"/>
        <v>162</v>
      </c>
      <c r="G270" s="3">
        <v>642</v>
      </c>
      <c r="H270" s="3">
        <f t="shared" si="32"/>
        <v>-480</v>
      </c>
      <c r="I270" s="21">
        <f t="shared" si="33"/>
        <v>80.83160083160084</v>
      </c>
    </row>
    <row r="271" spans="1:9" ht="13.5">
      <c r="A271" s="1">
        <v>4</v>
      </c>
      <c r="B271" s="2" t="s">
        <v>268</v>
      </c>
      <c r="C271" s="3">
        <v>145</v>
      </c>
      <c r="D271" s="3"/>
      <c r="E271" s="3"/>
      <c r="F271" s="3">
        <f t="shared" si="31"/>
        <v>145</v>
      </c>
      <c r="G271" s="3">
        <v>145</v>
      </c>
      <c r="H271" s="3">
        <f t="shared" si="32"/>
        <v>0</v>
      </c>
      <c r="I271" s="21">
        <f t="shared" si="33"/>
        <v>0</v>
      </c>
    </row>
    <row r="272" spans="1:9" ht="13.5">
      <c r="A272" s="1">
        <v>5</v>
      </c>
      <c r="B272" s="2" t="s">
        <v>269</v>
      </c>
      <c r="C272" s="3">
        <v>108</v>
      </c>
      <c r="D272" s="3"/>
      <c r="E272" s="3"/>
      <c r="F272" s="3">
        <f t="shared" si="31"/>
        <v>108</v>
      </c>
      <c r="G272" s="3">
        <v>108</v>
      </c>
      <c r="H272" s="3">
        <f t="shared" si="32"/>
        <v>0</v>
      </c>
      <c r="I272" s="21">
        <f t="shared" si="33"/>
        <v>0</v>
      </c>
    </row>
    <row r="273" spans="1:9" ht="13.5">
      <c r="A273" s="1">
        <v>6</v>
      </c>
      <c r="B273" s="2" t="s">
        <v>270</v>
      </c>
      <c r="C273" s="3">
        <v>121</v>
      </c>
      <c r="D273" s="3"/>
      <c r="E273" s="3">
        <v>2</v>
      </c>
      <c r="F273" s="3">
        <f t="shared" si="31"/>
        <v>119</v>
      </c>
      <c r="G273" s="3">
        <v>119</v>
      </c>
      <c r="H273" s="3">
        <f t="shared" si="32"/>
        <v>0</v>
      </c>
      <c r="I273" s="21">
        <f t="shared" si="33"/>
        <v>0</v>
      </c>
    </row>
    <row r="274" spans="1:9" ht="13.5">
      <c r="A274" s="1">
        <v>7</v>
      </c>
      <c r="B274" s="2" t="s">
        <v>271</v>
      </c>
      <c r="C274" s="3">
        <v>96</v>
      </c>
      <c r="D274" s="3"/>
      <c r="E274" s="3"/>
      <c r="F274" s="3">
        <f t="shared" si="31"/>
        <v>96</v>
      </c>
      <c r="G274" s="3">
        <v>96</v>
      </c>
      <c r="H274" s="3">
        <f t="shared" si="32"/>
        <v>0</v>
      </c>
      <c r="I274" s="21">
        <f t="shared" si="33"/>
        <v>0</v>
      </c>
    </row>
    <row r="275" spans="1:9" ht="13.5">
      <c r="A275" s="1">
        <v>8</v>
      </c>
      <c r="B275" s="2" t="s">
        <v>272</v>
      </c>
      <c r="C275" s="3">
        <v>103</v>
      </c>
      <c r="D275" s="3"/>
      <c r="E275" s="3"/>
      <c r="F275" s="3">
        <f t="shared" si="31"/>
        <v>103</v>
      </c>
      <c r="G275" s="3">
        <v>103</v>
      </c>
      <c r="H275" s="3">
        <f t="shared" si="32"/>
        <v>0</v>
      </c>
      <c r="I275" s="21">
        <f t="shared" si="33"/>
        <v>0</v>
      </c>
    </row>
    <row r="276" spans="1:9" ht="13.5">
      <c r="A276" s="1">
        <v>9</v>
      </c>
      <c r="B276" s="2" t="s">
        <v>273</v>
      </c>
      <c r="C276" s="3">
        <v>145</v>
      </c>
      <c r="D276" s="3"/>
      <c r="E276" s="3">
        <v>1</v>
      </c>
      <c r="F276" s="3">
        <f t="shared" si="31"/>
        <v>144</v>
      </c>
      <c r="G276" s="3">
        <v>144</v>
      </c>
      <c r="H276" s="3">
        <f t="shared" si="32"/>
        <v>0</v>
      </c>
      <c r="I276" s="21">
        <f t="shared" si="33"/>
        <v>0</v>
      </c>
    </row>
    <row r="277" spans="1:9" ht="13.5">
      <c r="A277" s="1">
        <v>10</v>
      </c>
      <c r="B277" s="2" t="s">
        <v>274</v>
      </c>
      <c r="C277" s="3">
        <v>270</v>
      </c>
      <c r="D277" s="3"/>
      <c r="E277" s="3">
        <v>4</v>
      </c>
      <c r="F277" s="3">
        <f t="shared" si="31"/>
        <v>266</v>
      </c>
      <c r="G277" s="3">
        <v>266</v>
      </c>
      <c r="H277" s="3">
        <f t="shared" si="32"/>
        <v>0</v>
      </c>
      <c r="I277" s="21">
        <f t="shared" si="33"/>
        <v>0</v>
      </c>
    </row>
    <row r="278" spans="1:9" ht="13.5">
      <c r="A278" s="1">
        <v>11</v>
      </c>
      <c r="B278" s="2" t="s">
        <v>275</v>
      </c>
      <c r="C278" s="3">
        <v>157</v>
      </c>
      <c r="D278" s="3">
        <v>1</v>
      </c>
      <c r="E278" s="3">
        <v>2</v>
      </c>
      <c r="F278" s="3">
        <f t="shared" si="31"/>
        <v>154</v>
      </c>
      <c r="G278" s="3">
        <v>154</v>
      </c>
      <c r="H278" s="3">
        <f t="shared" si="32"/>
        <v>0</v>
      </c>
      <c r="I278" s="21">
        <f t="shared" si="33"/>
        <v>0</v>
      </c>
    </row>
    <row r="279" spans="1:9" ht="13.5">
      <c r="A279" s="1">
        <v>12</v>
      </c>
      <c r="B279" s="2" t="s">
        <v>276</v>
      </c>
      <c r="C279" s="3">
        <v>344</v>
      </c>
      <c r="D279" s="3"/>
      <c r="E279" s="3">
        <v>1</v>
      </c>
      <c r="F279" s="3">
        <f t="shared" si="31"/>
        <v>343</v>
      </c>
      <c r="G279" s="3">
        <v>343</v>
      </c>
      <c r="H279" s="3">
        <f t="shared" si="32"/>
        <v>0</v>
      </c>
      <c r="I279" s="21">
        <f t="shared" si="33"/>
        <v>0</v>
      </c>
    </row>
    <row r="280" spans="1:9" ht="13.5">
      <c r="A280" s="1">
        <v>13</v>
      </c>
      <c r="B280" s="2" t="s">
        <v>277</v>
      </c>
      <c r="C280" s="3">
        <v>45</v>
      </c>
      <c r="D280" s="3"/>
      <c r="E280" s="3"/>
      <c r="F280" s="3">
        <f t="shared" si="31"/>
        <v>45</v>
      </c>
      <c r="G280" s="3">
        <v>46</v>
      </c>
      <c r="H280" s="3">
        <f t="shared" si="32"/>
        <v>-1</v>
      </c>
      <c r="I280" s="21">
        <f t="shared" si="33"/>
        <v>0.1683991683991684</v>
      </c>
    </row>
    <row r="281" spans="1:9" ht="13.5">
      <c r="A281" s="1">
        <v>14</v>
      </c>
      <c r="B281" s="2" t="s">
        <v>278</v>
      </c>
      <c r="C281" s="3">
        <v>61</v>
      </c>
      <c r="D281" s="3"/>
      <c r="E281" s="3"/>
      <c r="F281" s="3">
        <f t="shared" si="31"/>
        <v>61</v>
      </c>
      <c r="G281" s="3">
        <v>61</v>
      </c>
      <c r="H281" s="3">
        <f t="shared" si="32"/>
        <v>0</v>
      </c>
      <c r="I281" s="21">
        <f t="shared" si="33"/>
        <v>0</v>
      </c>
    </row>
    <row r="282" spans="1:9" ht="13.5">
      <c r="A282" s="1">
        <v>15</v>
      </c>
      <c r="B282" s="2" t="s">
        <v>279</v>
      </c>
      <c r="C282" s="3">
        <v>1</v>
      </c>
      <c r="D282" s="3"/>
      <c r="E282" s="3"/>
      <c r="F282" s="3">
        <v>1</v>
      </c>
      <c r="G282" s="3">
        <v>1</v>
      </c>
      <c r="H282" s="3">
        <f t="shared" si="32"/>
        <v>0</v>
      </c>
      <c r="I282" s="21">
        <f t="shared" si="33"/>
        <v>0</v>
      </c>
    </row>
    <row r="283" spans="1:9" ht="13.5">
      <c r="A283" s="1">
        <v>16</v>
      </c>
      <c r="B283" s="2" t="s">
        <v>280</v>
      </c>
      <c r="C283" s="3">
        <v>472</v>
      </c>
      <c r="D283" s="3">
        <v>3</v>
      </c>
      <c r="E283" s="3"/>
      <c r="F283" s="3">
        <f t="shared" si="31"/>
        <v>469</v>
      </c>
      <c r="G283" s="3">
        <v>469</v>
      </c>
      <c r="H283" s="3">
        <f t="shared" si="32"/>
        <v>0</v>
      </c>
      <c r="I283" s="21">
        <f t="shared" si="33"/>
        <v>0</v>
      </c>
    </row>
    <row r="284" spans="1:9" ht="13.5">
      <c r="A284" s="14" t="s">
        <v>467</v>
      </c>
      <c r="B284" s="15" t="s">
        <v>281</v>
      </c>
      <c r="C284" s="16">
        <f>SUM(C285:C294)</f>
        <v>1472</v>
      </c>
      <c r="D284" s="16">
        <f>SUM(D285:D294)</f>
        <v>1</v>
      </c>
      <c r="E284" s="16">
        <f>SUM(E285:E294)</f>
        <v>10</v>
      </c>
      <c r="F284" s="16">
        <f t="shared" si="31"/>
        <v>1461</v>
      </c>
      <c r="G284" s="16">
        <f>SUM(G285:G294)</f>
        <v>2567</v>
      </c>
      <c r="H284" s="16">
        <f>SUM(H285:H294)</f>
        <v>-1106</v>
      </c>
      <c r="I284" s="23">
        <f>H284/-16804*2819</f>
        <v>185.5399904784575</v>
      </c>
    </row>
    <row r="285" spans="1:9" ht="13.5">
      <c r="A285" s="1">
        <v>1</v>
      </c>
      <c r="B285" s="2" t="s">
        <v>282</v>
      </c>
      <c r="C285" s="3">
        <v>123</v>
      </c>
      <c r="D285" s="3"/>
      <c r="E285" s="3"/>
      <c r="F285" s="3">
        <f t="shared" si="31"/>
        <v>123</v>
      </c>
      <c r="G285" s="18">
        <v>216</v>
      </c>
      <c r="H285" s="3">
        <f aca="true" t="shared" si="34" ref="H285:H294">F285-G285</f>
        <v>-93</v>
      </c>
      <c r="I285" s="21">
        <f>H285/1106*-186</f>
        <v>15.64014466546112</v>
      </c>
    </row>
    <row r="286" spans="1:9" ht="13.5">
      <c r="A286" s="1">
        <v>2</v>
      </c>
      <c r="B286" s="2" t="s">
        <v>283</v>
      </c>
      <c r="C286" s="3">
        <v>221</v>
      </c>
      <c r="D286" s="3"/>
      <c r="E286" s="3">
        <v>1</v>
      </c>
      <c r="F286" s="3">
        <f t="shared" si="31"/>
        <v>220</v>
      </c>
      <c r="G286" s="18">
        <v>341</v>
      </c>
      <c r="H286" s="3">
        <f t="shared" si="34"/>
        <v>-121</v>
      </c>
      <c r="I286" s="21">
        <f aca="true" t="shared" si="35" ref="I286:I294">H286/1106*-186</f>
        <v>20.349005424954793</v>
      </c>
    </row>
    <row r="287" spans="1:9" ht="13.5">
      <c r="A287" s="1">
        <v>3</v>
      </c>
      <c r="B287" s="2" t="s">
        <v>284</v>
      </c>
      <c r="C287" s="3">
        <v>147</v>
      </c>
      <c r="D287" s="3"/>
      <c r="E287" s="3">
        <v>2</v>
      </c>
      <c r="F287" s="3">
        <f t="shared" si="31"/>
        <v>145</v>
      </c>
      <c r="G287" s="18">
        <v>202</v>
      </c>
      <c r="H287" s="3">
        <f t="shared" si="34"/>
        <v>-57</v>
      </c>
      <c r="I287" s="21">
        <f t="shared" si="35"/>
        <v>9.585895117540687</v>
      </c>
    </row>
    <row r="288" spans="1:9" ht="13.5">
      <c r="A288" s="1">
        <v>4</v>
      </c>
      <c r="B288" s="2" t="s">
        <v>285</v>
      </c>
      <c r="C288" s="3">
        <v>157</v>
      </c>
      <c r="D288" s="3">
        <v>1</v>
      </c>
      <c r="E288" s="3"/>
      <c r="F288" s="3">
        <f t="shared" si="31"/>
        <v>156</v>
      </c>
      <c r="G288" s="18">
        <v>188</v>
      </c>
      <c r="H288" s="3">
        <f t="shared" si="34"/>
        <v>-32</v>
      </c>
      <c r="I288" s="21">
        <f t="shared" si="35"/>
        <v>5.381555153707052</v>
      </c>
    </row>
    <row r="289" spans="1:9" ht="13.5">
      <c r="A289" s="1">
        <v>5</v>
      </c>
      <c r="B289" s="2" t="s">
        <v>286</v>
      </c>
      <c r="C289" s="3">
        <v>163</v>
      </c>
      <c r="D289" s="3"/>
      <c r="E289" s="3"/>
      <c r="F289" s="3">
        <f t="shared" si="31"/>
        <v>163</v>
      </c>
      <c r="G289" s="18">
        <v>213</v>
      </c>
      <c r="H289" s="3">
        <f t="shared" si="34"/>
        <v>-50</v>
      </c>
      <c r="I289" s="21">
        <f t="shared" si="35"/>
        <v>8.408679927667269</v>
      </c>
    </row>
    <row r="290" spans="1:9" ht="13.5">
      <c r="A290" s="1">
        <v>6</v>
      </c>
      <c r="B290" s="2" t="s">
        <v>287</v>
      </c>
      <c r="C290" s="3">
        <v>83</v>
      </c>
      <c r="D290" s="3"/>
      <c r="E290" s="3"/>
      <c r="F290" s="3">
        <f t="shared" si="31"/>
        <v>83</v>
      </c>
      <c r="G290" s="18">
        <v>83</v>
      </c>
      <c r="H290" s="3">
        <f t="shared" si="34"/>
        <v>0</v>
      </c>
      <c r="I290" s="21">
        <f t="shared" si="35"/>
        <v>0</v>
      </c>
    </row>
    <row r="291" spans="1:9" ht="13.5">
      <c r="A291" s="1">
        <v>7</v>
      </c>
      <c r="B291" s="2" t="s">
        <v>288</v>
      </c>
      <c r="C291" s="3">
        <v>52</v>
      </c>
      <c r="D291" s="3"/>
      <c r="E291" s="3"/>
      <c r="F291" s="3">
        <f t="shared" si="31"/>
        <v>52</v>
      </c>
      <c r="G291" s="18">
        <v>72</v>
      </c>
      <c r="H291" s="3">
        <f t="shared" si="34"/>
        <v>-20</v>
      </c>
      <c r="I291" s="21">
        <f t="shared" si="35"/>
        <v>3.363471971066908</v>
      </c>
    </row>
    <row r="292" spans="1:9" ht="13.5">
      <c r="A292" s="1">
        <v>8</v>
      </c>
      <c r="B292" s="2" t="s">
        <v>289</v>
      </c>
      <c r="C292" s="3">
        <v>80</v>
      </c>
      <c r="D292" s="3"/>
      <c r="E292" s="3"/>
      <c r="F292" s="3">
        <f t="shared" si="31"/>
        <v>80</v>
      </c>
      <c r="G292" s="18">
        <v>724</v>
      </c>
      <c r="H292" s="3">
        <f t="shared" si="34"/>
        <v>-644</v>
      </c>
      <c r="I292" s="21">
        <f t="shared" si="35"/>
        <v>108.30379746835443</v>
      </c>
    </row>
    <row r="293" spans="1:9" ht="13.5">
      <c r="A293" s="1">
        <v>9</v>
      </c>
      <c r="B293" s="2" t="s">
        <v>290</v>
      </c>
      <c r="C293" s="3">
        <v>369</v>
      </c>
      <c r="D293" s="3"/>
      <c r="E293" s="3">
        <v>5</v>
      </c>
      <c r="F293" s="3">
        <f t="shared" si="31"/>
        <v>364</v>
      </c>
      <c r="G293" s="18">
        <v>453</v>
      </c>
      <c r="H293" s="3">
        <f t="shared" si="34"/>
        <v>-89</v>
      </c>
      <c r="I293" s="21">
        <f t="shared" si="35"/>
        <v>14.967450271247738</v>
      </c>
    </row>
    <row r="294" spans="1:9" ht="13.5">
      <c r="A294" s="1">
        <v>10</v>
      </c>
      <c r="B294" s="2" t="s">
        <v>291</v>
      </c>
      <c r="C294" s="3">
        <v>77</v>
      </c>
      <c r="D294" s="3"/>
      <c r="E294" s="3">
        <v>2</v>
      </c>
      <c r="F294" s="3">
        <f t="shared" si="31"/>
        <v>75</v>
      </c>
      <c r="G294" s="3">
        <v>75</v>
      </c>
      <c r="H294" s="3">
        <f t="shared" si="34"/>
        <v>0</v>
      </c>
      <c r="I294" s="21">
        <f t="shared" si="35"/>
        <v>0</v>
      </c>
    </row>
    <row r="295" spans="1:9" ht="13.5">
      <c r="A295" s="14" t="s">
        <v>468</v>
      </c>
      <c r="B295" s="15" t="s">
        <v>292</v>
      </c>
      <c r="C295" s="16">
        <f>SUM(C296:C309)</f>
        <v>2056</v>
      </c>
      <c r="D295" s="16">
        <f>SUM(D296:D309)</f>
        <v>5</v>
      </c>
      <c r="E295" s="16">
        <f>SUM(E296:E309)</f>
        <v>12</v>
      </c>
      <c r="F295" s="16">
        <f t="shared" si="31"/>
        <v>2039</v>
      </c>
      <c r="G295" s="16">
        <f>SUM(G296:G309)</f>
        <v>2210</v>
      </c>
      <c r="H295" s="16">
        <f>SUM(H296:H309)</f>
        <v>-171</v>
      </c>
      <c r="I295" s="23">
        <f>H295/-16804*2819</f>
        <v>28.686562723161153</v>
      </c>
    </row>
    <row r="296" spans="1:9" ht="13.5">
      <c r="A296" s="1">
        <v>1</v>
      </c>
      <c r="B296" s="2" t="s">
        <v>293</v>
      </c>
      <c r="C296" s="3">
        <v>161</v>
      </c>
      <c r="D296" s="3"/>
      <c r="E296" s="3"/>
      <c r="F296" s="3">
        <f t="shared" si="31"/>
        <v>161</v>
      </c>
      <c r="G296" s="3">
        <v>245</v>
      </c>
      <c r="H296" s="3">
        <f aca="true" t="shared" si="36" ref="H296:H309">F296-G296</f>
        <v>-84</v>
      </c>
      <c r="I296" s="21">
        <f>H296/-171*29</f>
        <v>14.24561403508772</v>
      </c>
    </row>
    <row r="297" spans="1:9" ht="13.5">
      <c r="A297" s="1">
        <v>2</v>
      </c>
      <c r="B297" s="2" t="s">
        <v>294</v>
      </c>
      <c r="C297" s="3">
        <v>219</v>
      </c>
      <c r="D297" s="3">
        <v>1</v>
      </c>
      <c r="E297" s="3"/>
      <c r="F297" s="3">
        <f t="shared" si="31"/>
        <v>218</v>
      </c>
      <c r="G297" s="3">
        <v>218</v>
      </c>
      <c r="H297" s="3">
        <f t="shared" si="36"/>
        <v>0</v>
      </c>
      <c r="I297" s="21">
        <f aca="true" t="shared" si="37" ref="I297:I309">H297/-171*29</f>
        <v>0</v>
      </c>
    </row>
    <row r="298" spans="1:9" ht="13.5">
      <c r="A298" s="1">
        <v>3</v>
      </c>
      <c r="B298" s="2" t="s">
        <v>295</v>
      </c>
      <c r="C298" s="3">
        <v>605</v>
      </c>
      <c r="D298" s="3">
        <v>1</v>
      </c>
      <c r="E298" s="3">
        <v>3</v>
      </c>
      <c r="F298" s="3">
        <f t="shared" si="31"/>
        <v>601</v>
      </c>
      <c r="G298" s="3">
        <v>601</v>
      </c>
      <c r="H298" s="3">
        <f t="shared" si="36"/>
        <v>0</v>
      </c>
      <c r="I298" s="21">
        <f t="shared" si="37"/>
        <v>0</v>
      </c>
    </row>
    <row r="299" spans="1:9" ht="13.5">
      <c r="A299" s="1">
        <v>4</v>
      </c>
      <c r="B299" s="2" t="s">
        <v>296</v>
      </c>
      <c r="C299" s="3">
        <v>99</v>
      </c>
      <c r="D299" s="3"/>
      <c r="E299" s="3"/>
      <c r="F299" s="3">
        <f t="shared" si="31"/>
        <v>99</v>
      </c>
      <c r="G299" s="3">
        <v>186</v>
      </c>
      <c r="H299" s="3">
        <f t="shared" si="36"/>
        <v>-87</v>
      </c>
      <c r="I299" s="21">
        <f t="shared" si="37"/>
        <v>14.75438596491228</v>
      </c>
    </row>
    <row r="300" spans="1:9" ht="13.5">
      <c r="A300" s="1">
        <v>5</v>
      </c>
      <c r="B300" s="2" t="s">
        <v>297</v>
      </c>
      <c r="C300" s="3">
        <v>138</v>
      </c>
      <c r="D300" s="3"/>
      <c r="E300" s="3">
        <v>3</v>
      </c>
      <c r="F300" s="3">
        <f t="shared" si="31"/>
        <v>135</v>
      </c>
      <c r="G300" s="3">
        <v>135</v>
      </c>
      <c r="H300" s="3">
        <f t="shared" si="36"/>
        <v>0</v>
      </c>
      <c r="I300" s="21">
        <f t="shared" si="37"/>
        <v>0</v>
      </c>
    </row>
    <row r="301" spans="1:9" ht="13.5">
      <c r="A301" s="1">
        <v>6</v>
      </c>
      <c r="B301" s="2" t="s">
        <v>298</v>
      </c>
      <c r="C301" s="3">
        <v>84</v>
      </c>
      <c r="D301" s="3"/>
      <c r="E301" s="3">
        <v>1</v>
      </c>
      <c r="F301" s="3">
        <f t="shared" si="31"/>
        <v>83</v>
      </c>
      <c r="G301" s="3">
        <v>83</v>
      </c>
      <c r="H301" s="3">
        <f t="shared" si="36"/>
        <v>0</v>
      </c>
      <c r="I301" s="21">
        <f t="shared" si="37"/>
        <v>0</v>
      </c>
    </row>
    <row r="302" spans="1:9" ht="13.5">
      <c r="A302" s="1">
        <v>7</v>
      </c>
      <c r="B302" s="2" t="s">
        <v>299</v>
      </c>
      <c r="C302" s="3">
        <v>22</v>
      </c>
      <c r="D302" s="3"/>
      <c r="E302" s="3"/>
      <c r="F302" s="3">
        <f t="shared" si="31"/>
        <v>22</v>
      </c>
      <c r="G302" s="3">
        <v>22</v>
      </c>
      <c r="H302" s="3">
        <f t="shared" si="36"/>
        <v>0</v>
      </c>
      <c r="I302" s="21">
        <f t="shared" si="37"/>
        <v>0</v>
      </c>
    </row>
    <row r="303" spans="1:9" ht="13.5">
      <c r="A303" s="1">
        <v>8</v>
      </c>
      <c r="B303" s="2" t="s">
        <v>300</v>
      </c>
      <c r="C303" s="3">
        <v>27</v>
      </c>
      <c r="D303" s="3"/>
      <c r="E303" s="3"/>
      <c r="F303" s="3">
        <f t="shared" si="31"/>
        <v>27</v>
      </c>
      <c r="G303" s="3">
        <v>27</v>
      </c>
      <c r="H303" s="3">
        <f t="shared" si="36"/>
        <v>0</v>
      </c>
      <c r="I303" s="21">
        <f t="shared" si="37"/>
        <v>0</v>
      </c>
    </row>
    <row r="304" spans="1:9" ht="13.5">
      <c r="A304" s="1">
        <v>9</v>
      </c>
      <c r="B304" s="2" t="s">
        <v>301</v>
      </c>
      <c r="C304" s="3">
        <v>21</v>
      </c>
      <c r="D304" s="3"/>
      <c r="E304" s="3"/>
      <c r="F304" s="3">
        <f t="shared" si="31"/>
        <v>21</v>
      </c>
      <c r="G304" s="3">
        <v>21</v>
      </c>
      <c r="H304" s="3">
        <f t="shared" si="36"/>
        <v>0</v>
      </c>
      <c r="I304" s="21">
        <f t="shared" si="37"/>
        <v>0</v>
      </c>
    </row>
    <row r="305" spans="1:9" ht="13.5">
      <c r="A305" s="1">
        <v>10</v>
      </c>
      <c r="B305" s="2" t="s">
        <v>302</v>
      </c>
      <c r="C305" s="3">
        <v>108</v>
      </c>
      <c r="D305" s="3"/>
      <c r="E305" s="3"/>
      <c r="F305" s="3">
        <f t="shared" si="31"/>
        <v>108</v>
      </c>
      <c r="G305" s="3">
        <v>108</v>
      </c>
      <c r="H305" s="3">
        <f t="shared" si="36"/>
        <v>0</v>
      </c>
      <c r="I305" s="21">
        <f t="shared" si="37"/>
        <v>0</v>
      </c>
    </row>
    <row r="306" spans="1:9" ht="13.5">
      <c r="A306" s="1">
        <v>11</v>
      </c>
      <c r="B306" s="2" t="s">
        <v>303</v>
      </c>
      <c r="C306" s="3">
        <v>63</v>
      </c>
      <c r="D306" s="3">
        <v>1</v>
      </c>
      <c r="E306" s="3"/>
      <c r="F306" s="3">
        <f t="shared" si="31"/>
        <v>62</v>
      </c>
      <c r="G306" s="3">
        <v>62</v>
      </c>
      <c r="H306" s="3">
        <f t="shared" si="36"/>
        <v>0</v>
      </c>
      <c r="I306" s="21">
        <f t="shared" si="37"/>
        <v>0</v>
      </c>
    </row>
    <row r="307" spans="1:9" ht="13.5">
      <c r="A307" s="1">
        <v>12</v>
      </c>
      <c r="B307" s="2" t="s">
        <v>304</v>
      </c>
      <c r="C307" s="3">
        <v>76</v>
      </c>
      <c r="D307" s="3">
        <v>1</v>
      </c>
      <c r="E307" s="3">
        <v>2</v>
      </c>
      <c r="F307" s="3">
        <f t="shared" si="31"/>
        <v>73</v>
      </c>
      <c r="G307" s="3">
        <v>73</v>
      </c>
      <c r="H307" s="3">
        <f t="shared" si="36"/>
        <v>0</v>
      </c>
      <c r="I307" s="21">
        <f t="shared" si="37"/>
        <v>0</v>
      </c>
    </row>
    <row r="308" spans="1:9" ht="13.5">
      <c r="A308" s="1">
        <v>13</v>
      </c>
      <c r="B308" s="2" t="s">
        <v>305</v>
      </c>
      <c r="C308" s="3">
        <v>18</v>
      </c>
      <c r="D308" s="3"/>
      <c r="E308" s="3"/>
      <c r="F308" s="3">
        <f t="shared" si="31"/>
        <v>18</v>
      </c>
      <c r="G308" s="3">
        <v>18</v>
      </c>
      <c r="H308" s="3">
        <f t="shared" si="36"/>
        <v>0</v>
      </c>
      <c r="I308" s="21">
        <f t="shared" si="37"/>
        <v>0</v>
      </c>
    </row>
    <row r="309" spans="1:9" ht="13.5">
      <c r="A309" s="1">
        <v>14</v>
      </c>
      <c r="B309" s="2" t="s">
        <v>306</v>
      </c>
      <c r="C309" s="3">
        <v>415</v>
      </c>
      <c r="D309" s="3">
        <v>1</v>
      </c>
      <c r="E309" s="3">
        <v>3</v>
      </c>
      <c r="F309" s="3">
        <f t="shared" si="31"/>
        <v>411</v>
      </c>
      <c r="G309" s="3">
        <v>411</v>
      </c>
      <c r="H309" s="3">
        <f t="shared" si="36"/>
        <v>0</v>
      </c>
      <c r="I309" s="21">
        <f t="shared" si="37"/>
        <v>0</v>
      </c>
    </row>
    <row r="310" spans="1:9" ht="13.5">
      <c r="A310" s="14" t="s">
        <v>469</v>
      </c>
      <c r="B310" s="15" t="s">
        <v>307</v>
      </c>
      <c r="C310" s="16">
        <f>SUM(C311:C323)</f>
        <v>1840</v>
      </c>
      <c r="D310" s="16">
        <f>SUM(D311:D323)</f>
        <v>3</v>
      </c>
      <c r="E310" s="16">
        <f>SUM(E311:E323)</f>
        <v>12</v>
      </c>
      <c r="F310" s="16">
        <f t="shared" si="31"/>
        <v>1825</v>
      </c>
      <c r="G310" s="16">
        <f>SUM(G311:G323)</f>
        <v>2091</v>
      </c>
      <c r="H310" s="16">
        <f>SUM(H311:H323)</f>
        <v>-266</v>
      </c>
      <c r="I310" s="23">
        <f>H310/-16804*2819</f>
        <v>44.62354201380624</v>
      </c>
    </row>
    <row r="311" spans="1:9" ht="13.5">
      <c r="A311" s="1">
        <v>1</v>
      </c>
      <c r="B311" s="2" t="s">
        <v>308</v>
      </c>
      <c r="C311" s="3">
        <v>80</v>
      </c>
      <c r="D311" s="3"/>
      <c r="E311" s="3"/>
      <c r="F311" s="3">
        <f t="shared" si="31"/>
        <v>80</v>
      </c>
      <c r="G311" s="3">
        <v>80</v>
      </c>
      <c r="H311" s="3">
        <f aca="true" t="shared" si="38" ref="H311:H323">F311-G311</f>
        <v>0</v>
      </c>
      <c r="I311" s="21">
        <f>H311/-266*45</f>
        <v>0</v>
      </c>
    </row>
    <row r="312" spans="1:9" ht="13.5">
      <c r="A312" s="1">
        <v>2</v>
      </c>
      <c r="B312" s="2" t="s">
        <v>309</v>
      </c>
      <c r="C312" s="3">
        <v>129</v>
      </c>
      <c r="D312" s="3"/>
      <c r="E312" s="3"/>
      <c r="F312" s="3">
        <f t="shared" si="31"/>
        <v>129</v>
      </c>
      <c r="G312" s="3">
        <v>278</v>
      </c>
      <c r="H312" s="3">
        <f t="shared" si="38"/>
        <v>-149</v>
      </c>
      <c r="I312" s="21">
        <f aca="true" t="shared" si="39" ref="I312:I323">H312/-266*45</f>
        <v>25.206766917293233</v>
      </c>
    </row>
    <row r="313" spans="1:9" ht="13.5">
      <c r="A313" s="1">
        <v>3</v>
      </c>
      <c r="B313" s="2" t="s">
        <v>310</v>
      </c>
      <c r="C313" s="3">
        <v>146</v>
      </c>
      <c r="D313" s="3"/>
      <c r="E313" s="3">
        <v>1</v>
      </c>
      <c r="F313" s="3">
        <f t="shared" si="31"/>
        <v>145</v>
      </c>
      <c r="G313" s="3">
        <v>145</v>
      </c>
      <c r="H313" s="3">
        <f t="shared" si="38"/>
        <v>0</v>
      </c>
      <c r="I313" s="21">
        <f t="shared" si="39"/>
        <v>0</v>
      </c>
    </row>
    <row r="314" spans="1:9" ht="13.5">
      <c r="A314" s="1">
        <v>4</v>
      </c>
      <c r="B314" s="2" t="s">
        <v>311</v>
      </c>
      <c r="C314" s="3">
        <v>95</v>
      </c>
      <c r="D314" s="3"/>
      <c r="E314" s="3"/>
      <c r="F314" s="3">
        <f t="shared" si="31"/>
        <v>95</v>
      </c>
      <c r="G314" s="3">
        <v>100</v>
      </c>
      <c r="H314" s="3">
        <f t="shared" si="38"/>
        <v>-5</v>
      </c>
      <c r="I314" s="21">
        <f t="shared" si="39"/>
        <v>0.8458646616541353</v>
      </c>
    </row>
    <row r="315" spans="1:9" ht="13.5">
      <c r="A315" s="1">
        <v>5</v>
      </c>
      <c r="B315" s="2" t="s">
        <v>312</v>
      </c>
      <c r="C315" s="3">
        <v>101</v>
      </c>
      <c r="D315" s="3">
        <v>1</v>
      </c>
      <c r="E315" s="3">
        <v>1</v>
      </c>
      <c r="F315" s="3">
        <f t="shared" si="31"/>
        <v>99</v>
      </c>
      <c r="G315" s="3">
        <v>112</v>
      </c>
      <c r="H315" s="3">
        <f t="shared" si="38"/>
        <v>-13</v>
      </c>
      <c r="I315" s="21">
        <f t="shared" si="39"/>
        <v>2.199248120300752</v>
      </c>
    </row>
    <row r="316" spans="1:9" ht="13.5">
      <c r="A316" s="1">
        <v>6</v>
      </c>
      <c r="B316" s="2" t="s">
        <v>313</v>
      </c>
      <c r="C316" s="3">
        <v>127</v>
      </c>
      <c r="D316" s="3"/>
      <c r="E316" s="3">
        <v>1</v>
      </c>
      <c r="F316" s="3">
        <f t="shared" si="31"/>
        <v>126</v>
      </c>
      <c r="G316" s="3">
        <v>152</v>
      </c>
      <c r="H316" s="3">
        <f t="shared" si="38"/>
        <v>-26</v>
      </c>
      <c r="I316" s="21">
        <f t="shared" si="39"/>
        <v>4.398496240601504</v>
      </c>
    </row>
    <row r="317" spans="1:9" ht="13.5">
      <c r="A317" s="1">
        <v>7</v>
      </c>
      <c r="B317" s="2" t="s">
        <v>314</v>
      </c>
      <c r="C317" s="3">
        <v>169</v>
      </c>
      <c r="D317" s="3"/>
      <c r="E317" s="3">
        <v>1</v>
      </c>
      <c r="F317" s="3">
        <f t="shared" si="31"/>
        <v>168</v>
      </c>
      <c r="G317" s="3">
        <v>168</v>
      </c>
      <c r="H317" s="3">
        <f t="shared" si="38"/>
        <v>0</v>
      </c>
      <c r="I317" s="21">
        <f t="shared" si="39"/>
        <v>0</v>
      </c>
    </row>
    <row r="318" spans="1:9" ht="13.5">
      <c r="A318" s="1">
        <v>8</v>
      </c>
      <c r="B318" s="2" t="s">
        <v>315</v>
      </c>
      <c r="C318" s="3">
        <v>121</v>
      </c>
      <c r="D318" s="3"/>
      <c r="E318" s="3"/>
      <c r="F318" s="3">
        <f t="shared" si="31"/>
        <v>121</v>
      </c>
      <c r="G318" s="3">
        <v>121</v>
      </c>
      <c r="H318" s="3">
        <f t="shared" si="38"/>
        <v>0</v>
      </c>
      <c r="I318" s="21">
        <f t="shared" si="39"/>
        <v>0</v>
      </c>
    </row>
    <row r="319" spans="1:9" ht="13.5">
      <c r="A319" s="1">
        <v>9</v>
      </c>
      <c r="B319" s="2" t="s">
        <v>316</v>
      </c>
      <c r="C319" s="3">
        <v>112</v>
      </c>
      <c r="D319" s="3"/>
      <c r="E319" s="3"/>
      <c r="F319" s="3">
        <f t="shared" si="31"/>
        <v>112</v>
      </c>
      <c r="G319" s="3">
        <v>133</v>
      </c>
      <c r="H319" s="3">
        <f t="shared" si="38"/>
        <v>-21</v>
      </c>
      <c r="I319" s="21">
        <f t="shared" si="39"/>
        <v>3.552631578947368</v>
      </c>
    </row>
    <row r="320" spans="1:9" ht="13.5">
      <c r="A320" s="1">
        <v>10</v>
      </c>
      <c r="B320" s="2" t="s">
        <v>317</v>
      </c>
      <c r="C320" s="3">
        <v>60</v>
      </c>
      <c r="D320" s="3"/>
      <c r="E320" s="3"/>
      <c r="F320" s="3">
        <f t="shared" si="31"/>
        <v>60</v>
      </c>
      <c r="G320" s="3">
        <v>60</v>
      </c>
      <c r="H320" s="3">
        <f t="shared" si="38"/>
        <v>0</v>
      </c>
      <c r="I320" s="21">
        <f t="shared" si="39"/>
        <v>0</v>
      </c>
    </row>
    <row r="321" spans="1:9" ht="13.5">
      <c r="A321" s="1">
        <v>11</v>
      </c>
      <c r="B321" s="2" t="s">
        <v>318</v>
      </c>
      <c r="C321" s="3"/>
      <c r="D321" s="3"/>
      <c r="E321" s="3"/>
      <c r="F321" s="3">
        <f t="shared" si="31"/>
        <v>0</v>
      </c>
      <c r="G321" s="3"/>
      <c r="H321" s="3">
        <f t="shared" si="38"/>
        <v>0</v>
      </c>
      <c r="I321" s="21">
        <f t="shared" si="39"/>
        <v>0</v>
      </c>
    </row>
    <row r="322" spans="1:9" ht="13.5">
      <c r="A322" s="1">
        <v>12</v>
      </c>
      <c r="B322" s="2" t="s">
        <v>319</v>
      </c>
      <c r="C322" s="3">
        <v>554</v>
      </c>
      <c r="D322" s="3"/>
      <c r="E322" s="3">
        <v>6</v>
      </c>
      <c r="F322" s="3">
        <f t="shared" si="31"/>
        <v>548</v>
      </c>
      <c r="G322" s="3">
        <v>600</v>
      </c>
      <c r="H322" s="3">
        <f t="shared" si="38"/>
        <v>-52</v>
      </c>
      <c r="I322" s="21">
        <f t="shared" si="39"/>
        <v>8.796992481203008</v>
      </c>
    </row>
    <row r="323" spans="1:9" ht="13.5">
      <c r="A323" s="1">
        <v>13</v>
      </c>
      <c r="B323" s="2" t="s">
        <v>320</v>
      </c>
      <c r="C323" s="3">
        <v>146</v>
      </c>
      <c r="D323" s="3">
        <v>2</v>
      </c>
      <c r="E323" s="3">
        <v>2</v>
      </c>
      <c r="F323" s="3">
        <f t="shared" si="31"/>
        <v>142</v>
      </c>
      <c r="G323" s="3">
        <v>142</v>
      </c>
      <c r="H323" s="3">
        <f t="shared" si="38"/>
        <v>0</v>
      </c>
      <c r="I323" s="21">
        <f t="shared" si="39"/>
        <v>0</v>
      </c>
    </row>
    <row r="324" spans="1:9" ht="13.5">
      <c r="A324" s="14" t="s">
        <v>470</v>
      </c>
      <c r="B324" s="15" t="s">
        <v>321</v>
      </c>
      <c r="C324" s="16">
        <f>SUM(C325:C337)</f>
        <v>1812</v>
      </c>
      <c r="D324" s="16">
        <f>SUM(D325:D337)</f>
        <v>3</v>
      </c>
      <c r="E324" s="16">
        <f>SUM(E325:E337)</f>
        <v>8</v>
      </c>
      <c r="F324" s="16">
        <f t="shared" si="31"/>
        <v>1801</v>
      </c>
      <c r="G324" s="16">
        <f>SUM(G325:G337)</f>
        <v>2312</v>
      </c>
      <c r="H324" s="16">
        <f>SUM(H325:H337)</f>
        <v>-511</v>
      </c>
      <c r="I324" s="23">
        <f>H324/-16804*2819</f>
        <v>85.7241728159962</v>
      </c>
    </row>
    <row r="325" spans="1:9" ht="13.5">
      <c r="A325" s="1">
        <v>1</v>
      </c>
      <c r="B325" s="2" t="s">
        <v>322</v>
      </c>
      <c r="C325" s="3">
        <v>69</v>
      </c>
      <c r="D325" s="3"/>
      <c r="E325" s="3"/>
      <c r="F325" s="3">
        <f t="shared" si="31"/>
        <v>69</v>
      </c>
      <c r="G325" s="3">
        <v>106</v>
      </c>
      <c r="H325" s="3">
        <f aca="true" t="shared" si="40" ref="H325:H337">F325-G325</f>
        <v>-37</v>
      </c>
      <c r="I325" s="21">
        <f>H325/-511*86</f>
        <v>6.227005870841487</v>
      </c>
    </row>
    <row r="326" spans="1:9" ht="13.5">
      <c r="A326" s="1">
        <v>2</v>
      </c>
      <c r="B326" s="2" t="s">
        <v>323</v>
      </c>
      <c r="C326" s="3">
        <v>418</v>
      </c>
      <c r="D326" s="3"/>
      <c r="E326" s="3">
        <v>2</v>
      </c>
      <c r="F326" s="3">
        <f t="shared" si="31"/>
        <v>416</v>
      </c>
      <c r="G326" s="3">
        <v>416</v>
      </c>
      <c r="H326" s="3">
        <f t="shared" si="40"/>
        <v>0</v>
      </c>
      <c r="I326" s="21">
        <f aca="true" t="shared" si="41" ref="I326:I337">H326/-511*86</f>
        <v>0</v>
      </c>
    </row>
    <row r="327" spans="1:9" ht="13.5">
      <c r="A327" s="1">
        <v>3</v>
      </c>
      <c r="B327" s="2" t="s">
        <v>324</v>
      </c>
      <c r="C327" s="3">
        <v>65</v>
      </c>
      <c r="D327" s="3"/>
      <c r="E327" s="3"/>
      <c r="F327" s="3">
        <f aca="true" t="shared" si="42" ref="F327:F390">C327-E327-D327</f>
        <v>65</v>
      </c>
      <c r="G327" s="3">
        <v>84</v>
      </c>
      <c r="H327" s="3">
        <f t="shared" si="40"/>
        <v>-19</v>
      </c>
      <c r="I327" s="21">
        <f t="shared" si="41"/>
        <v>3.1976516634050878</v>
      </c>
    </row>
    <row r="328" spans="1:9" ht="13.5">
      <c r="A328" s="1">
        <v>4</v>
      </c>
      <c r="B328" s="2" t="s">
        <v>325</v>
      </c>
      <c r="C328" s="3">
        <v>44</v>
      </c>
      <c r="D328" s="3"/>
      <c r="E328" s="3"/>
      <c r="F328" s="3">
        <f t="shared" si="42"/>
        <v>44</v>
      </c>
      <c r="G328" s="3">
        <v>55</v>
      </c>
      <c r="H328" s="3">
        <f t="shared" si="40"/>
        <v>-11</v>
      </c>
      <c r="I328" s="21">
        <f t="shared" si="41"/>
        <v>1.851272015655577</v>
      </c>
    </row>
    <row r="329" spans="1:9" ht="13.5">
      <c r="A329" s="1">
        <v>5</v>
      </c>
      <c r="B329" s="2" t="s">
        <v>326</v>
      </c>
      <c r="C329" s="3">
        <v>35</v>
      </c>
      <c r="D329" s="3"/>
      <c r="E329" s="3"/>
      <c r="F329" s="3">
        <f t="shared" si="42"/>
        <v>35</v>
      </c>
      <c r="G329" s="3">
        <v>35</v>
      </c>
      <c r="H329" s="3">
        <f t="shared" si="40"/>
        <v>0</v>
      </c>
      <c r="I329" s="21">
        <f t="shared" si="41"/>
        <v>0</v>
      </c>
    </row>
    <row r="330" spans="1:9" ht="13.5">
      <c r="A330" s="1">
        <v>6</v>
      </c>
      <c r="B330" s="2" t="s">
        <v>327</v>
      </c>
      <c r="C330" s="3">
        <v>57</v>
      </c>
      <c r="D330" s="3"/>
      <c r="E330" s="3"/>
      <c r="F330" s="3">
        <f t="shared" si="42"/>
        <v>57</v>
      </c>
      <c r="G330" s="3">
        <v>57</v>
      </c>
      <c r="H330" s="3">
        <f t="shared" si="40"/>
        <v>0</v>
      </c>
      <c r="I330" s="21">
        <f t="shared" si="41"/>
        <v>0</v>
      </c>
    </row>
    <row r="331" spans="1:9" ht="13.5">
      <c r="A331" s="1">
        <v>7</v>
      </c>
      <c r="B331" s="2" t="s">
        <v>328</v>
      </c>
      <c r="C331" s="3">
        <v>51</v>
      </c>
      <c r="D331" s="3">
        <v>1</v>
      </c>
      <c r="E331" s="3"/>
      <c r="F331" s="3">
        <f t="shared" si="42"/>
        <v>50</v>
      </c>
      <c r="G331" s="3">
        <v>50</v>
      </c>
      <c r="H331" s="3">
        <f t="shared" si="40"/>
        <v>0</v>
      </c>
      <c r="I331" s="21">
        <f t="shared" si="41"/>
        <v>0</v>
      </c>
    </row>
    <row r="332" spans="1:9" ht="13.5">
      <c r="A332" s="1">
        <v>8</v>
      </c>
      <c r="B332" s="2" t="s">
        <v>329</v>
      </c>
      <c r="C332" s="3">
        <v>23</v>
      </c>
      <c r="D332" s="3"/>
      <c r="E332" s="3"/>
      <c r="F332" s="3">
        <f t="shared" si="42"/>
        <v>23</v>
      </c>
      <c r="G332" s="3">
        <v>23</v>
      </c>
      <c r="H332" s="3">
        <f t="shared" si="40"/>
        <v>0</v>
      </c>
      <c r="I332" s="21">
        <f t="shared" si="41"/>
        <v>0</v>
      </c>
    </row>
    <row r="333" spans="1:9" ht="13.5">
      <c r="A333" s="1">
        <v>9</v>
      </c>
      <c r="B333" s="2" t="s">
        <v>330</v>
      </c>
      <c r="C333" s="3">
        <v>40</v>
      </c>
      <c r="D333" s="3"/>
      <c r="E333" s="3"/>
      <c r="F333" s="3">
        <f t="shared" si="42"/>
        <v>40</v>
      </c>
      <c r="G333" s="3">
        <v>40</v>
      </c>
      <c r="H333" s="3">
        <f t="shared" si="40"/>
        <v>0</v>
      </c>
      <c r="I333" s="21">
        <f t="shared" si="41"/>
        <v>0</v>
      </c>
    </row>
    <row r="334" spans="1:9" ht="13.5">
      <c r="A334" s="1">
        <v>10</v>
      </c>
      <c r="B334" s="2" t="s">
        <v>331</v>
      </c>
      <c r="C334" s="3">
        <v>323</v>
      </c>
      <c r="D334" s="3">
        <v>1</v>
      </c>
      <c r="E334" s="3">
        <v>3</v>
      </c>
      <c r="F334" s="3">
        <f t="shared" si="42"/>
        <v>319</v>
      </c>
      <c r="G334" s="3">
        <v>363</v>
      </c>
      <c r="H334" s="3">
        <f t="shared" si="40"/>
        <v>-44</v>
      </c>
      <c r="I334" s="21">
        <f t="shared" si="41"/>
        <v>7.405088062622308</v>
      </c>
    </row>
    <row r="335" spans="1:9" ht="13.5">
      <c r="A335" s="1">
        <v>11</v>
      </c>
      <c r="B335" s="2" t="s">
        <v>332</v>
      </c>
      <c r="C335" s="3">
        <v>565</v>
      </c>
      <c r="D335" s="3">
        <v>1</v>
      </c>
      <c r="E335" s="3">
        <v>3</v>
      </c>
      <c r="F335" s="3">
        <f t="shared" si="42"/>
        <v>561</v>
      </c>
      <c r="G335" s="3">
        <v>908</v>
      </c>
      <c r="H335" s="3">
        <f t="shared" si="40"/>
        <v>-347</v>
      </c>
      <c r="I335" s="21">
        <f t="shared" si="41"/>
        <v>58.39921722113503</v>
      </c>
    </row>
    <row r="336" spans="1:9" ht="13.5">
      <c r="A336" s="1">
        <v>12</v>
      </c>
      <c r="B336" s="2" t="s">
        <v>333</v>
      </c>
      <c r="C336" s="3">
        <v>29</v>
      </c>
      <c r="D336" s="3"/>
      <c r="E336" s="3"/>
      <c r="F336" s="3">
        <f t="shared" si="42"/>
        <v>29</v>
      </c>
      <c r="G336" s="3">
        <v>82</v>
      </c>
      <c r="H336" s="3">
        <f t="shared" si="40"/>
        <v>-53</v>
      </c>
      <c r="I336" s="21">
        <f t="shared" si="41"/>
        <v>8.919765166340508</v>
      </c>
    </row>
    <row r="337" spans="1:9" ht="13.5">
      <c r="A337" s="1">
        <v>13</v>
      </c>
      <c r="B337" s="2" t="s">
        <v>334</v>
      </c>
      <c r="C337" s="3">
        <v>93</v>
      </c>
      <c r="D337" s="3"/>
      <c r="E337" s="3"/>
      <c r="F337" s="3">
        <f t="shared" si="42"/>
        <v>93</v>
      </c>
      <c r="G337" s="3">
        <v>93</v>
      </c>
      <c r="H337" s="3">
        <f t="shared" si="40"/>
        <v>0</v>
      </c>
      <c r="I337" s="21">
        <f t="shared" si="41"/>
        <v>0</v>
      </c>
    </row>
    <row r="338" spans="1:9" ht="13.5">
      <c r="A338" s="14" t="s">
        <v>471</v>
      </c>
      <c r="B338" s="15" t="s">
        <v>335</v>
      </c>
      <c r="C338" s="16">
        <f>SUM(C339:C345)</f>
        <v>2378</v>
      </c>
      <c r="D338" s="16">
        <f>SUM(D339:D345)</f>
        <v>9</v>
      </c>
      <c r="E338" s="16">
        <f>SUM(E339:E345)</f>
        <v>13</v>
      </c>
      <c r="F338" s="16">
        <f t="shared" si="42"/>
        <v>2356</v>
      </c>
      <c r="G338" s="16">
        <f>SUM(G339:G345)</f>
        <v>2464</v>
      </c>
      <c r="H338" s="16">
        <f>SUM(H339:H345)</f>
        <v>-108</v>
      </c>
      <c r="I338" s="23">
        <f>H338/-16804*2819</f>
        <v>18.117829088312305</v>
      </c>
    </row>
    <row r="339" spans="1:9" ht="13.5">
      <c r="A339" s="1">
        <v>1</v>
      </c>
      <c r="B339" s="2" t="s">
        <v>336</v>
      </c>
      <c r="C339" s="3">
        <v>305</v>
      </c>
      <c r="D339" s="3"/>
      <c r="E339" s="3"/>
      <c r="F339" s="3">
        <f t="shared" si="42"/>
        <v>305</v>
      </c>
      <c r="G339" s="3">
        <v>356</v>
      </c>
      <c r="H339" s="3">
        <f aca="true" t="shared" si="43" ref="H339:H345">F339-G339</f>
        <v>-51</v>
      </c>
      <c r="I339" s="21">
        <f>H339/108*-18</f>
        <v>8.5</v>
      </c>
    </row>
    <row r="340" spans="1:9" ht="13.5">
      <c r="A340" s="1">
        <v>2</v>
      </c>
      <c r="B340" s="2" t="s">
        <v>337</v>
      </c>
      <c r="C340" s="3">
        <v>945</v>
      </c>
      <c r="D340" s="3">
        <v>3</v>
      </c>
      <c r="E340" s="3">
        <v>4</v>
      </c>
      <c r="F340" s="3">
        <f t="shared" si="42"/>
        <v>938</v>
      </c>
      <c r="G340" s="3">
        <v>938</v>
      </c>
      <c r="H340" s="3">
        <f t="shared" si="43"/>
        <v>0</v>
      </c>
      <c r="I340" s="21">
        <f aca="true" t="shared" si="44" ref="I340:I345">H340/108*-18</f>
        <v>0</v>
      </c>
    </row>
    <row r="341" spans="1:9" ht="13.5">
      <c r="A341" s="1">
        <v>3</v>
      </c>
      <c r="B341" s="2" t="s">
        <v>338</v>
      </c>
      <c r="C341" s="3">
        <v>182</v>
      </c>
      <c r="D341" s="3">
        <v>1</v>
      </c>
      <c r="E341" s="3"/>
      <c r="F341" s="3">
        <f t="shared" si="42"/>
        <v>181</v>
      </c>
      <c r="G341" s="3">
        <v>238</v>
      </c>
      <c r="H341" s="3">
        <f t="shared" si="43"/>
        <v>-57</v>
      </c>
      <c r="I341" s="21">
        <f t="shared" si="44"/>
        <v>9.5</v>
      </c>
    </row>
    <row r="342" spans="1:9" ht="13.5">
      <c r="A342" s="1">
        <v>4</v>
      </c>
      <c r="B342" s="2" t="s">
        <v>339</v>
      </c>
      <c r="C342" s="3">
        <v>87</v>
      </c>
      <c r="D342" s="3">
        <v>2</v>
      </c>
      <c r="E342" s="3"/>
      <c r="F342" s="3">
        <f t="shared" si="42"/>
        <v>85</v>
      </c>
      <c r="G342" s="3">
        <v>85</v>
      </c>
      <c r="H342" s="3">
        <f t="shared" si="43"/>
        <v>0</v>
      </c>
      <c r="I342" s="21">
        <f t="shared" si="44"/>
        <v>0</v>
      </c>
    </row>
    <row r="343" spans="1:9" ht="13.5">
      <c r="A343" s="1">
        <v>5</v>
      </c>
      <c r="B343" s="2" t="s">
        <v>340</v>
      </c>
      <c r="C343" s="3"/>
      <c r="D343" s="3"/>
      <c r="E343" s="3"/>
      <c r="F343" s="3">
        <f t="shared" si="42"/>
        <v>0</v>
      </c>
      <c r="G343" s="3"/>
      <c r="H343" s="3">
        <f t="shared" si="43"/>
        <v>0</v>
      </c>
      <c r="I343" s="21">
        <f t="shared" si="44"/>
        <v>0</v>
      </c>
    </row>
    <row r="344" spans="1:9" ht="13.5">
      <c r="A344" s="1">
        <v>6</v>
      </c>
      <c r="B344" s="2" t="s">
        <v>341</v>
      </c>
      <c r="C344" s="3">
        <v>700</v>
      </c>
      <c r="D344" s="3">
        <v>3</v>
      </c>
      <c r="E344" s="3">
        <v>9</v>
      </c>
      <c r="F344" s="3">
        <f t="shared" si="42"/>
        <v>688</v>
      </c>
      <c r="G344" s="3">
        <v>688</v>
      </c>
      <c r="H344" s="3">
        <f t="shared" si="43"/>
        <v>0</v>
      </c>
      <c r="I344" s="21">
        <f t="shared" si="44"/>
        <v>0</v>
      </c>
    </row>
    <row r="345" spans="1:9" ht="13.5">
      <c r="A345" s="1">
        <v>7</v>
      </c>
      <c r="B345" s="2" t="s">
        <v>342</v>
      </c>
      <c r="C345" s="3">
        <v>159</v>
      </c>
      <c r="D345" s="3"/>
      <c r="E345" s="3"/>
      <c r="F345" s="3">
        <f t="shared" si="42"/>
        <v>159</v>
      </c>
      <c r="G345" s="3">
        <v>159</v>
      </c>
      <c r="H345" s="3">
        <f t="shared" si="43"/>
        <v>0</v>
      </c>
      <c r="I345" s="21">
        <f t="shared" si="44"/>
        <v>0</v>
      </c>
    </row>
    <row r="346" spans="1:9" ht="13.5">
      <c r="A346" s="14" t="s">
        <v>472</v>
      </c>
      <c r="B346" s="15" t="s">
        <v>343</v>
      </c>
      <c r="C346" s="16">
        <f>SUM(C347:C355)</f>
        <v>1723</v>
      </c>
      <c r="D346" s="16">
        <f>SUM(D347:D355)</f>
        <v>3</v>
      </c>
      <c r="E346" s="16">
        <f>SUM(E347:E355)</f>
        <v>6</v>
      </c>
      <c r="F346" s="16">
        <f t="shared" si="42"/>
        <v>1714</v>
      </c>
      <c r="G346" s="16">
        <f>SUM(G347:G355)</f>
        <v>2368</v>
      </c>
      <c r="H346" s="16">
        <f>SUM(H347:H355)</f>
        <v>-654</v>
      </c>
      <c r="I346" s="23">
        <f>H346/-16804*2819</f>
        <v>109.71352059033563</v>
      </c>
    </row>
    <row r="347" spans="1:9" ht="13.5">
      <c r="A347" s="1">
        <v>1</v>
      </c>
      <c r="B347" s="2" t="s">
        <v>344</v>
      </c>
      <c r="C347" s="3">
        <v>238</v>
      </c>
      <c r="D347" s="3">
        <v>1</v>
      </c>
      <c r="E347" s="3"/>
      <c r="F347" s="3">
        <f t="shared" si="42"/>
        <v>237</v>
      </c>
      <c r="G347" s="3">
        <v>336</v>
      </c>
      <c r="H347" s="3">
        <f aca="true" t="shared" si="45" ref="H347:H355">F347-G347</f>
        <v>-99</v>
      </c>
      <c r="I347" s="21">
        <f>H347/654*-110</f>
        <v>16.65137614678899</v>
      </c>
    </row>
    <row r="348" spans="1:9" ht="13.5">
      <c r="A348" s="1">
        <v>2</v>
      </c>
      <c r="B348" s="2" t="s">
        <v>345</v>
      </c>
      <c r="C348" s="3">
        <v>215</v>
      </c>
      <c r="D348" s="3">
        <v>1</v>
      </c>
      <c r="E348" s="3">
        <v>2</v>
      </c>
      <c r="F348" s="3">
        <f t="shared" si="42"/>
        <v>212</v>
      </c>
      <c r="G348" s="3">
        <v>215</v>
      </c>
      <c r="H348" s="3">
        <f t="shared" si="45"/>
        <v>-3</v>
      </c>
      <c r="I348" s="21">
        <f>H348/654*-110</f>
        <v>0.5045871559633028</v>
      </c>
    </row>
    <row r="349" spans="1:9" ht="13.5">
      <c r="A349" s="1">
        <v>3</v>
      </c>
      <c r="B349" s="2" t="s">
        <v>346</v>
      </c>
      <c r="C349" s="3">
        <v>264</v>
      </c>
      <c r="D349" s="3"/>
      <c r="E349" s="3">
        <v>1</v>
      </c>
      <c r="F349" s="3">
        <f t="shared" si="42"/>
        <v>263</v>
      </c>
      <c r="G349" s="3">
        <v>371</v>
      </c>
      <c r="H349" s="3">
        <f t="shared" si="45"/>
        <v>-108</v>
      </c>
      <c r="I349" s="21">
        <f aca="true" t="shared" si="46" ref="I349:I355">H349/654*-110</f>
        <v>18.1651376146789</v>
      </c>
    </row>
    <row r="350" spans="1:9" ht="13.5">
      <c r="A350" s="1">
        <v>4</v>
      </c>
      <c r="B350" s="2" t="s">
        <v>347</v>
      </c>
      <c r="C350" s="3">
        <v>110</v>
      </c>
      <c r="D350" s="3"/>
      <c r="E350" s="3"/>
      <c r="F350" s="3">
        <f t="shared" si="42"/>
        <v>110</v>
      </c>
      <c r="G350" s="3">
        <v>110</v>
      </c>
      <c r="H350" s="3">
        <f t="shared" si="45"/>
        <v>0</v>
      </c>
      <c r="I350" s="21">
        <f t="shared" si="46"/>
        <v>0</v>
      </c>
    </row>
    <row r="351" spans="1:9" ht="13.5">
      <c r="A351" s="1">
        <v>5</v>
      </c>
      <c r="B351" s="2" t="s">
        <v>348</v>
      </c>
      <c r="C351" s="3">
        <v>75</v>
      </c>
      <c r="D351" s="3"/>
      <c r="E351" s="3"/>
      <c r="F351" s="3">
        <f t="shared" si="42"/>
        <v>75</v>
      </c>
      <c r="G351" s="3">
        <v>97</v>
      </c>
      <c r="H351" s="3">
        <f t="shared" si="45"/>
        <v>-22</v>
      </c>
      <c r="I351" s="21">
        <f t="shared" si="46"/>
        <v>3.7003058103975532</v>
      </c>
    </row>
    <row r="352" spans="1:9" ht="13.5">
      <c r="A352" s="1">
        <v>6</v>
      </c>
      <c r="B352" s="2" t="s">
        <v>349</v>
      </c>
      <c r="C352" s="3">
        <v>86</v>
      </c>
      <c r="D352" s="3"/>
      <c r="E352" s="3"/>
      <c r="F352" s="3">
        <f t="shared" si="42"/>
        <v>86</v>
      </c>
      <c r="G352" s="3">
        <v>97</v>
      </c>
      <c r="H352" s="3">
        <f t="shared" si="45"/>
        <v>-11</v>
      </c>
      <c r="I352" s="21">
        <f t="shared" si="46"/>
        <v>1.8501529051987766</v>
      </c>
    </row>
    <row r="353" spans="1:9" ht="13.5">
      <c r="A353" s="1">
        <v>7</v>
      </c>
      <c r="B353" s="2" t="s">
        <v>350</v>
      </c>
      <c r="C353" s="3">
        <v>52</v>
      </c>
      <c r="D353" s="3"/>
      <c r="E353" s="3"/>
      <c r="F353" s="3">
        <f t="shared" si="42"/>
        <v>52</v>
      </c>
      <c r="G353" s="3">
        <v>463</v>
      </c>
      <c r="H353" s="3">
        <f t="shared" si="45"/>
        <v>-411</v>
      </c>
      <c r="I353" s="21">
        <f t="shared" si="46"/>
        <v>69.12844036697248</v>
      </c>
    </row>
    <row r="354" spans="1:9" ht="13.5">
      <c r="A354" s="1">
        <v>8</v>
      </c>
      <c r="B354" s="2" t="s">
        <v>351</v>
      </c>
      <c r="C354" s="3">
        <v>168</v>
      </c>
      <c r="D354" s="3"/>
      <c r="E354" s="3">
        <v>1</v>
      </c>
      <c r="F354" s="3">
        <f t="shared" si="42"/>
        <v>167</v>
      </c>
      <c r="G354" s="3">
        <v>167</v>
      </c>
      <c r="H354" s="3">
        <f t="shared" si="45"/>
        <v>0</v>
      </c>
      <c r="I354" s="21">
        <f t="shared" si="46"/>
        <v>0</v>
      </c>
    </row>
    <row r="355" spans="1:9" ht="13.5">
      <c r="A355" s="1">
        <v>9</v>
      </c>
      <c r="B355" s="2" t="s">
        <v>352</v>
      </c>
      <c r="C355" s="3">
        <v>515</v>
      </c>
      <c r="D355" s="3">
        <v>1</v>
      </c>
      <c r="E355" s="3">
        <v>2</v>
      </c>
      <c r="F355" s="3">
        <f t="shared" si="42"/>
        <v>512</v>
      </c>
      <c r="G355" s="3">
        <v>512</v>
      </c>
      <c r="H355" s="3">
        <f t="shared" si="45"/>
        <v>0</v>
      </c>
      <c r="I355" s="21">
        <f t="shared" si="46"/>
        <v>0</v>
      </c>
    </row>
    <row r="356" spans="1:9" ht="13.5">
      <c r="A356" s="14" t="s">
        <v>473</v>
      </c>
      <c r="B356" s="15" t="s">
        <v>353</v>
      </c>
      <c r="C356" s="16">
        <f>SUM(C357:C384)</f>
        <v>8664</v>
      </c>
      <c r="D356" s="16">
        <f>SUM(D357:D384)</f>
        <v>32</v>
      </c>
      <c r="E356" s="16">
        <f>SUM(E357:E384)</f>
        <v>86</v>
      </c>
      <c r="F356" s="16">
        <f t="shared" si="42"/>
        <v>8546</v>
      </c>
      <c r="G356" s="16">
        <f>SUM(G357:G384)</f>
        <v>9002</v>
      </c>
      <c r="H356" s="16">
        <f>SUM(H357:H384)</f>
        <v>-456</v>
      </c>
      <c r="I356" s="23">
        <f>H356/-16804*2819</f>
        <v>76.4975005950964</v>
      </c>
    </row>
    <row r="357" spans="1:9" ht="13.5">
      <c r="A357" s="1">
        <v>1</v>
      </c>
      <c r="B357" s="2" t="s">
        <v>354</v>
      </c>
      <c r="C357" s="3">
        <v>146</v>
      </c>
      <c r="D357" s="3"/>
      <c r="E357" s="3">
        <v>2</v>
      </c>
      <c r="F357" s="3">
        <f t="shared" si="42"/>
        <v>144</v>
      </c>
      <c r="G357" s="3">
        <v>144</v>
      </c>
      <c r="H357" s="3">
        <f aca="true" t="shared" si="47" ref="H357:H384">F357-G357</f>
        <v>0</v>
      </c>
      <c r="I357" s="21">
        <f>H357/-456*76</f>
        <v>0</v>
      </c>
    </row>
    <row r="358" spans="1:9" ht="13.5">
      <c r="A358" s="1">
        <v>2</v>
      </c>
      <c r="B358" s="2" t="s">
        <v>355</v>
      </c>
      <c r="C358" s="3">
        <v>352</v>
      </c>
      <c r="D358" s="3"/>
      <c r="E358" s="3">
        <v>4</v>
      </c>
      <c r="F358" s="3">
        <f t="shared" si="42"/>
        <v>348</v>
      </c>
      <c r="G358" s="3">
        <v>348</v>
      </c>
      <c r="H358" s="3">
        <f t="shared" si="47"/>
        <v>0</v>
      </c>
      <c r="I358" s="21">
        <f aca="true" t="shared" si="48" ref="I358:I384">H358/-456*76</f>
        <v>0</v>
      </c>
    </row>
    <row r="359" spans="1:9" ht="13.5">
      <c r="A359" s="1">
        <v>3</v>
      </c>
      <c r="B359" s="2" t="s">
        <v>356</v>
      </c>
      <c r="C359" s="3">
        <v>122</v>
      </c>
      <c r="D359" s="3"/>
      <c r="E359" s="3"/>
      <c r="F359" s="3">
        <f t="shared" si="42"/>
        <v>122</v>
      </c>
      <c r="G359" s="3">
        <v>130</v>
      </c>
      <c r="H359" s="3">
        <f t="shared" si="47"/>
        <v>-8</v>
      </c>
      <c r="I359" s="21">
        <f t="shared" si="48"/>
        <v>1.3333333333333333</v>
      </c>
    </row>
    <row r="360" spans="1:9" ht="13.5">
      <c r="A360" s="1">
        <v>4</v>
      </c>
      <c r="B360" s="2" t="s">
        <v>357</v>
      </c>
      <c r="C360" s="3">
        <v>193</v>
      </c>
      <c r="D360" s="3"/>
      <c r="E360" s="3">
        <v>3</v>
      </c>
      <c r="F360" s="3">
        <f t="shared" si="42"/>
        <v>190</v>
      </c>
      <c r="G360" s="3">
        <v>190</v>
      </c>
      <c r="H360" s="3">
        <f t="shared" si="47"/>
        <v>0</v>
      </c>
      <c r="I360" s="21">
        <f t="shared" si="48"/>
        <v>0</v>
      </c>
    </row>
    <row r="361" spans="1:9" ht="13.5">
      <c r="A361" s="1">
        <v>5</v>
      </c>
      <c r="B361" s="2" t="s">
        <v>358</v>
      </c>
      <c r="C361" s="3">
        <v>210</v>
      </c>
      <c r="D361" s="3">
        <v>2</v>
      </c>
      <c r="E361" s="3">
        <v>1</v>
      </c>
      <c r="F361" s="3">
        <f t="shared" si="42"/>
        <v>207</v>
      </c>
      <c r="G361" s="3">
        <v>207</v>
      </c>
      <c r="H361" s="3">
        <f t="shared" si="47"/>
        <v>0</v>
      </c>
      <c r="I361" s="21">
        <f t="shared" si="48"/>
        <v>0</v>
      </c>
    </row>
    <row r="362" spans="1:9" ht="13.5">
      <c r="A362" s="1">
        <v>6</v>
      </c>
      <c r="B362" s="2" t="s">
        <v>359</v>
      </c>
      <c r="C362" s="3">
        <v>307</v>
      </c>
      <c r="D362" s="3"/>
      <c r="E362" s="3">
        <v>5</v>
      </c>
      <c r="F362" s="3">
        <f t="shared" si="42"/>
        <v>302</v>
      </c>
      <c r="G362" s="3">
        <v>302</v>
      </c>
      <c r="H362" s="3">
        <f t="shared" si="47"/>
        <v>0</v>
      </c>
      <c r="I362" s="21">
        <f t="shared" si="48"/>
        <v>0</v>
      </c>
    </row>
    <row r="363" spans="1:9" ht="13.5">
      <c r="A363" s="1">
        <v>7</v>
      </c>
      <c r="B363" s="2" t="s">
        <v>360</v>
      </c>
      <c r="C363" s="3">
        <v>227</v>
      </c>
      <c r="D363" s="3"/>
      <c r="E363" s="3">
        <v>5</v>
      </c>
      <c r="F363" s="3">
        <f t="shared" si="42"/>
        <v>222</v>
      </c>
      <c r="G363" s="3">
        <v>250</v>
      </c>
      <c r="H363" s="3">
        <f t="shared" si="47"/>
        <v>-28</v>
      </c>
      <c r="I363" s="21">
        <f t="shared" si="48"/>
        <v>4.666666666666666</v>
      </c>
    </row>
    <row r="364" spans="1:9" ht="13.5">
      <c r="A364" s="1">
        <v>8</v>
      </c>
      <c r="B364" s="2" t="s">
        <v>361</v>
      </c>
      <c r="C364" s="3">
        <v>278</v>
      </c>
      <c r="D364" s="3"/>
      <c r="E364" s="3"/>
      <c r="F364" s="3">
        <f t="shared" si="42"/>
        <v>278</v>
      </c>
      <c r="G364" s="3">
        <v>278</v>
      </c>
      <c r="H364" s="3">
        <f t="shared" si="47"/>
        <v>0</v>
      </c>
      <c r="I364" s="21">
        <f t="shared" si="48"/>
        <v>0</v>
      </c>
    </row>
    <row r="365" spans="1:9" ht="13.5">
      <c r="A365" s="1">
        <v>9</v>
      </c>
      <c r="B365" s="2" t="s">
        <v>362</v>
      </c>
      <c r="C365" s="3">
        <v>179</v>
      </c>
      <c r="D365" s="3"/>
      <c r="E365" s="3"/>
      <c r="F365" s="3">
        <f t="shared" si="42"/>
        <v>179</v>
      </c>
      <c r="G365" s="3">
        <v>179</v>
      </c>
      <c r="H365" s="3">
        <f t="shared" si="47"/>
        <v>0</v>
      </c>
      <c r="I365" s="21">
        <f t="shared" si="48"/>
        <v>0</v>
      </c>
    </row>
    <row r="366" spans="1:9" ht="13.5">
      <c r="A366" s="1">
        <v>10</v>
      </c>
      <c r="B366" s="2" t="s">
        <v>363</v>
      </c>
      <c r="C366" s="3">
        <v>159</v>
      </c>
      <c r="D366" s="3">
        <v>1</v>
      </c>
      <c r="E366" s="3"/>
      <c r="F366" s="3">
        <f t="shared" si="42"/>
        <v>158</v>
      </c>
      <c r="G366" s="3">
        <v>158</v>
      </c>
      <c r="H366" s="3">
        <f t="shared" si="47"/>
        <v>0</v>
      </c>
      <c r="I366" s="21">
        <f t="shared" si="48"/>
        <v>0</v>
      </c>
    </row>
    <row r="367" spans="1:9" ht="13.5">
      <c r="A367" s="1">
        <v>11</v>
      </c>
      <c r="B367" s="2" t="s">
        <v>364</v>
      </c>
      <c r="C367" s="3">
        <v>602</v>
      </c>
      <c r="D367" s="3">
        <v>3</v>
      </c>
      <c r="E367" s="3">
        <v>2</v>
      </c>
      <c r="F367" s="3">
        <f t="shared" si="42"/>
        <v>597</v>
      </c>
      <c r="G367" s="3">
        <v>597</v>
      </c>
      <c r="H367" s="3">
        <f t="shared" si="47"/>
        <v>0</v>
      </c>
      <c r="I367" s="21">
        <f t="shared" si="48"/>
        <v>0</v>
      </c>
    </row>
    <row r="368" spans="1:9" ht="13.5">
      <c r="A368" s="1">
        <v>12</v>
      </c>
      <c r="B368" s="2" t="s">
        <v>365</v>
      </c>
      <c r="C368" s="3">
        <v>336</v>
      </c>
      <c r="D368" s="3"/>
      <c r="E368" s="3">
        <v>2</v>
      </c>
      <c r="F368" s="3">
        <f t="shared" si="42"/>
        <v>334</v>
      </c>
      <c r="G368" s="3">
        <v>347</v>
      </c>
      <c r="H368" s="3">
        <f t="shared" si="47"/>
        <v>-13</v>
      </c>
      <c r="I368" s="21">
        <f t="shared" si="48"/>
        <v>2.1666666666666665</v>
      </c>
    </row>
    <row r="369" spans="1:9" ht="13.5">
      <c r="A369" s="1">
        <v>13</v>
      </c>
      <c r="B369" s="2" t="s">
        <v>366</v>
      </c>
      <c r="C369" s="3">
        <v>269</v>
      </c>
      <c r="D369" s="3"/>
      <c r="E369" s="3">
        <v>6</v>
      </c>
      <c r="F369" s="3">
        <f t="shared" si="42"/>
        <v>263</v>
      </c>
      <c r="G369" s="3">
        <v>271</v>
      </c>
      <c r="H369" s="3">
        <f t="shared" si="47"/>
        <v>-8</v>
      </c>
      <c r="I369" s="21">
        <f t="shared" si="48"/>
        <v>1.3333333333333333</v>
      </c>
    </row>
    <row r="370" spans="1:9" ht="13.5">
      <c r="A370" s="1">
        <v>14</v>
      </c>
      <c r="B370" s="2" t="s">
        <v>367</v>
      </c>
      <c r="C370" s="3">
        <v>259</v>
      </c>
      <c r="D370" s="3"/>
      <c r="E370" s="3">
        <v>5</v>
      </c>
      <c r="F370" s="3">
        <f t="shared" si="42"/>
        <v>254</v>
      </c>
      <c r="G370" s="3">
        <v>254</v>
      </c>
      <c r="H370" s="3">
        <f t="shared" si="47"/>
        <v>0</v>
      </c>
      <c r="I370" s="21">
        <f t="shared" si="48"/>
        <v>0</v>
      </c>
    </row>
    <row r="371" spans="1:9" ht="13.5">
      <c r="A371" s="1">
        <v>15</v>
      </c>
      <c r="B371" s="2" t="s">
        <v>368</v>
      </c>
      <c r="C371" s="3">
        <v>855</v>
      </c>
      <c r="D371" s="3">
        <v>2</v>
      </c>
      <c r="E371" s="3">
        <v>2</v>
      </c>
      <c r="F371" s="3">
        <f t="shared" si="42"/>
        <v>851</v>
      </c>
      <c r="G371" s="3">
        <v>851</v>
      </c>
      <c r="H371" s="3">
        <f t="shared" si="47"/>
        <v>0</v>
      </c>
      <c r="I371" s="21">
        <f t="shared" si="48"/>
        <v>0</v>
      </c>
    </row>
    <row r="372" spans="1:9" ht="13.5">
      <c r="A372" s="1">
        <v>16</v>
      </c>
      <c r="B372" s="2" t="s">
        <v>369</v>
      </c>
      <c r="C372" s="3">
        <v>230</v>
      </c>
      <c r="D372" s="3">
        <v>2</v>
      </c>
      <c r="E372" s="3">
        <v>2</v>
      </c>
      <c r="F372" s="3">
        <f t="shared" si="42"/>
        <v>226</v>
      </c>
      <c r="G372" s="3">
        <v>226</v>
      </c>
      <c r="H372" s="3">
        <f t="shared" si="47"/>
        <v>0</v>
      </c>
      <c r="I372" s="21">
        <f t="shared" si="48"/>
        <v>0</v>
      </c>
    </row>
    <row r="373" spans="1:9" ht="13.5">
      <c r="A373" s="1">
        <v>17</v>
      </c>
      <c r="B373" s="2" t="s">
        <v>370</v>
      </c>
      <c r="C373" s="3">
        <v>199</v>
      </c>
      <c r="D373" s="3"/>
      <c r="E373" s="3"/>
      <c r="F373" s="3">
        <f t="shared" si="42"/>
        <v>199</v>
      </c>
      <c r="G373" s="3">
        <v>311</v>
      </c>
      <c r="H373" s="3">
        <f t="shared" si="47"/>
        <v>-112</v>
      </c>
      <c r="I373" s="21">
        <f t="shared" si="48"/>
        <v>18.666666666666664</v>
      </c>
    </row>
    <row r="374" spans="1:9" ht="13.5">
      <c r="A374" s="1">
        <v>18</v>
      </c>
      <c r="B374" s="2" t="s">
        <v>371</v>
      </c>
      <c r="C374" s="3">
        <v>517</v>
      </c>
      <c r="D374" s="3">
        <v>3</v>
      </c>
      <c r="E374" s="3">
        <v>9</v>
      </c>
      <c r="F374" s="3">
        <f t="shared" si="42"/>
        <v>505</v>
      </c>
      <c r="G374" s="3">
        <v>505</v>
      </c>
      <c r="H374" s="3">
        <f t="shared" si="47"/>
        <v>0</v>
      </c>
      <c r="I374" s="21">
        <f t="shared" si="48"/>
        <v>0</v>
      </c>
    </row>
    <row r="375" spans="1:9" ht="13.5">
      <c r="A375" s="1">
        <v>19</v>
      </c>
      <c r="B375" s="2" t="s">
        <v>372</v>
      </c>
      <c r="C375" s="3">
        <v>263</v>
      </c>
      <c r="D375" s="3">
        <v>1</v>
      </c>
      <c r="E375" s="3">
        <v>4</v>
      </c>
      <c r="F375" s="3">
        <f t="shared" si="42"/>
        <v>258</v>
      </c>
      <c r="G375" s="3">
        <v>390</v>
      </c>
      <c r="H375" s="3">
        <f t="shared" si="47"/>
        <v>-132</v>
      </c>
      <c r="I375" s="21">
        <f t="shared" si="48"/>
        <v>22</v>
      </c>
    </row>
    <row r="376" spans="1:9" ht="13.5">
      <c r="A376" s="1">
        <v>20</v>
      </c>
      <c r="B376" s="2" t="s">
        <v>373</v>
      </c>
      <c r="C376" s="3">
        <v>137</v>
      </c>
      <c r="D376" s="3">
        <v>1</v>
      </c>
      <c r="E376" s="3">
        <v>1</v>
      </c>
      <c r="F376" s="3">
        <f t="shared" si="42"/>
        <v>135</v>
      </c>
      <c r="G376" s="3">
        <v>281</v>
      </c>
      <c r="H376" s="3">
        <f t="shared" si="47"/>
        <v>-146</v>
      </c>
      <c r="I376" s="21">
        <f t="shared" si="48"/>
        <v>24.333333333333332</v>
      </c>
    </row>
    <row r="377" spans="1:9" ht="13.5">
      <c r="A377" s="1">
        <v>21</v>
      </c>
      <c r="B377" s="2" t="s">
        <v>374</v>
      </c>
      <c r="C377" s="3">
        <v>128</v>
      </c>
      <c r="D377" s="3">
        <v>1</v>
      </c>
      <c r="E377" s="3"/>
      <c r="F377" s="3">
        <f t="shared" si="42"/>
        <v>127</v>
      </c>
      <c r="G377" s="3">
        <v>136</v>
      </c>
      <c r="H377" s="3">
        <f t="shared" si="47"/>
        <v>-9</v>
      </c>
      <c r="I377" s="21">
        <f t="shared" si="48"/>
        <v>1.5</v>
      </c>
    </row>
    <row r="378" spans="1:9" ht="13.5">
      <c r="A378" s="1">
        <v>22</v>
      </c>
      <c r="B378" s="2" t="s">
        <v>375</v>
      </c>
      <c r="C378" s="3">
        <v>249</v>
      </c>
      <c r="D378" s="3">
        <v>1</v>
      </c>
      <c r="E378" s="3"/>
      <c r="F378" s="3">
        <f t="shared" si="42"/>
        <v>248</v>
      </c>
      <c r="G378" s="3">
        <v>248</v>
      </c>
      <c r="H378" s="3">
        <f t="shared" si="47"/>
        <v>0</v>
      </c>
      <c r="I378" s="21">
        <f t="shared" si="48"/>
        <v>0</v>
      </c>
    </row>
    <row r="379" spans="1:9" ht="13.5">
      <c r="A379" s="1">
        <v>23</v>
      </c>
      <c r="B379" s="2" t="s">
        <v>376</v>
      </c>
      <c r="C379" s="3">
        <v>58</v>
      </c>
      <c r="D379" s="3"/>
      <c r="E379" s="3">
        <v>4</v>
      </c>
      <c r="F379" s="3">
        <f t="shared" si="42"/>
        <v>54</v>
      </c>
      <c r="G379" s="3">
        <v>54</v>
      </c>
      <c r="H379" s="3">
        <f t="shared" si="47"/>
        <v>0</v>
      </c>
      <c r="I379" s="21">
        <f t="shared" si="48"/>
        <v>0</v>
      </c>
    </row>
    <row r="380" spans="1:9" ht="13.5">
      <c r="A380" s="1">
        <v>24</v>
      </c>
      <c r="B380" s="2" t="s">
        <v>377</v>
      </c>
      <c r="C380" s="3"/>
      <c r="D380" s="3"/>
      <c r="E380" s="3"/>
      <c r="F380" s="3">
        <f t="shared" si="42"/>
        <v>0</v>
      </c>
      <c r="G380" s="3"/>
      <c r="H380" s="3">
        <f t="shared" si="47"/>
        <v>0</v>
      </c>
      <c r="I380" s="21">
        <f t="shared" si="48"/>
        <v>0</v>
      </c>
    </row>
    <row r="381" spans="1:9" ht="13.5">
      <c r="A381" s="1">
        <v>25</v>
      </c>
      <c r="B381" s="2" t="s">
        <v>378</v>
      </c>
      <c r="C381" s="3">
        <v>1</v>
      </c>
      <c r="D381" s="3"/>
      <c r="E381" s="3"/>
      <c r="F381" s="3">
        <f t="shared" si="42"/>
        <v>1</v>
      </c>
      <c r="G381" s="3">
        <v>1</v>
      </c>
      <c r="H381" s="3">
        <f t="shared" si="47"/>
        <v>0</v>
      </c>
      <c r="I381" s="21">
        <f t="shared" si="48"/>
        <v>0</v>
      </c>
    </row>
    <row r="382" spans="1:9" ht="13.5">
      <c r="A382" s="1">
        <v>26</v>
      </c>
      <c r="B382" s="2" t="s">
        <v>379</v>
      </c>
      <c r="C382" s="3">
        <f>1744+166</f>
        <v>1910</v>
      </c>
      <c r="D382" s="3">
        <v>12</v>
      </c>
      <c r="E382" s="3">
        <v>26</v>
      </c>
      <c r="F382" s="3">
        <f t="shared" si="42"/>
        <v>1872</v>
      </c>
      <c r="G382" s="3">
        <v>1872</v>
      </c>
      <c r="H382" s="3">
        <f t="shared" si="47"/>
        <v>0</v>
      </c>
      <c r="I382" s="21">
        <f t="shared" si="48"/>
        <v>0</v>
      </c>
    </row>
    <row r="383" spans="1:9" ht="13.5">
      <c r="A383" s="1">
        <v>27</v>
      </c>
      <c r="B383" s="2" t="s">
        <v>380</v>
      </c>
      <c r="C383" s="3">
        <v>210</v>
      </c>
      <c r="D383" s="3">
        <v>2</v>
      </c>
      <c r="E383" s="3">
        <v>2</v>
      </c>
      <c r="F383" s="3">
        <f t="shared" si="42"/>
        <v>206</v>
      </c>
      <c r="G383" s="3">
        <v>206</v>
      </c>
      <c r="H383" s="3">
        <f t="shared" si="47"/>
        <v>0</v>
      </c>
      <c r="I383" s="21">
        <f t="shared" si="48"/>
        <v>0</v>
      </c>
    </row>
    <row r="384" spans="1:9" ht="13.5">
      <c r="A384" s="1">
        <v>28</v>
      </c>
      <c r="B384" s="2" t="s">
        <v>381</v>
      </c>
      <c r="C384" s="3">
        <v>268</v>
      </c>
      <c r="D384" s="3">
        <v>1</v>
      </c>
      <c r="E384" s="3">
        <v>1</v>
      </c>
      <c r="F384" s="3">
        <f t="shared" si="42"/>
        <v>266</v>
      </c>
      <c r="G384" s="3">
        <v>266</v>
      </c>
      <c r="H384" s="3">
        <f t="shared" si="47"/>
        <v>0</v>
      </c>
      <c r="I384" s="21">
        <f t="shared" si="48"/>
        <v>0</v>
      </c>
    </row>
    <row r="385" spans="1:9" ht="13.5">
      <c r="A385" s="14" t="s">
        <v>474</v>
      </c>
      <c r="B385" s="15" t="s">
        <v>382</v>
      </c>
      <c r="C385" s="16">
        <f>SUM(C386:C391)</f>
        <v>1972</v>
      </c>
      <c r="D385" s="16">
        <f>SUM(D386:D391)</f>
        <v>8</v>
      </c>
      <c r="E385" s="16">
        <f>SUM(E386:E391)</f>
        <v>17</v>
      </c>
      <c r="F385" s="16">
        <f t="shared" si="42"/>
        <v>1947</v>
      </c>
      <c r="G385" s="16">
        <f>SUM(G386:G391)</f>
        <v>2257</v>
      </c>
      <c r="H385" s="16">
        <f>SUM(H386:H391)</f>
        <v>-310</v>
      </c>
      <c r="I385" s="23">
        <f>H385/-16804*2819</f>
        <v>52.00487979052606</v>
      </c>
    </row>
    <row r="386" spans="1:9" ht="13.5">
      <c r="A386" s="1">
        <v>1</v>
      </c>
      <c r="B386" s="2" t="s">
        <v>383</v>
      </c>
      <c r="C386" s="3">
        <v>281</v>
      </c>
      <c r="D386" s="3">
        <v>1</v>
      </c>
      <c r="E386" s="3">
        <v>4</v>
      </c>
      <c r="F386" s="3">
        <f t="shared" si="42"/>
        <v>276</v>
      </c>
      <c r="G386" s="3">
        <v>413</v>
      </c>
      <c r="H386" s="3">
        <f aca="true" t="shared" si="49" ref="H386:H391">F386-G386</f>
        <v>-137</v>
      </c>
      <c r="I386" s="21">
        <f aca="true" t="shared" si="50" ref="I386:I391">H386/310*-52</f>
        <v>22.980645161290322</v>
      </c>
    </row>
    <row r="387" spans="1:9" ht="13.5">
      <c r="A387" s="1">
        <v>2</v>
      </c>
      <c r="B387" s="2" t="s">
        <v>384</v>
      </c>
      <c r="C387" s="3">
        <v>304</v>
      </c>
      <c r="D387" s="3"/>
      <c r="E387" s="3">
        <v>2</v>
      </c>
      <c r="F387" s="3">
        <f t="shared" si="42"/>
        <v>302</v>
      </c>
      <c r="G387" s="3">
        <v>316</v>
      </c>
      <c r="H387" s="3">
        <f t="shared" si="49"/>
        <v>-14</v>
      </c>
      <c r="I387" s="21">
        <f t="shared" si="50"/>
        <v>2.3483870967741933</v>
      </c>
    </row>
    <row r="388" spans="1:9" ht="13.5">
      <c r="A388" s="1">
        <v>3</v>
      </c>
      <c r="B388" s="2" t="s">
        <v>385</v>
      </c>
      <c r="C388" s="3">
        <v>423</v>
      </c>
      <c r="D388" s="3">
        <v>2</v>
      </c>
      <c r="E388" s="3">
        <v>5</v>
      </c>
      <c r="F388" s="3">
        <f t="shared" si="42"/>
        <v>416</v>
      </c>
      <c r="G388" s="3">
        <v>575</v>
      </c>
      <c r="H388" s="3">
        <f t="shared" si="49"/>
        <v>-159</v>
      </c>
      <c r="I388" s="21">
        <f t="shared" si="50"/>
        <v>26.670967741935485</v>
      </c>
    </row>
    <row r="389" spans="1:9" ht="13.5">
      <c r="A389" s="1">
        <v>4</v>
      </c>
      <c r="B389" s="2" t="s">
        <v>386</v>
      </c>
      <c r="C389" s="3">
        <v>255</v>
      </c>
      <c r="D389" s="3">
        <v>1</v>
      </c>
      <c r="E389" s="3">
        <v>1</v>
      </c>
      <c r="F389" s="3">
        <f t="shared" si="42"/>
        <v>253</v>
      </c>
      <c r="G389" s="3">
        <v>253</v>
      </c>
      <c r="H389" s="3">
        <f t="shared" si="49"/>
        <v>0</v>
      </c>
      <c r="I389" s="21">
        <f t="shared" si="50"/>
        <v>0</v>
      </c>
    </row>
    <row r="390" spans="1:9" ht="13.5">
      <c r="A390" s="1">
        <v>5</v>
      </c>
      <c r="B390" s="2" t="s">
        <v>387</v>
      </c>
      <c r="C390" s="3">
        <v>453</v>
      </c>
      <c r="D390" s="3">
        <v>2</v>
      </c>
      <c r="E390" s="3">
        <v>2</v>
      </c>
      <c r="F390" s="3">
        <f t="shared" si="42"/>
        <v>449</v>
      </c>
      <c r="G390" s="3">
        <v>449</v>
      </c>
      <c r="H390" s="3">
        <f t="shared" si="49"/>
        <v>0</v>
      </c>
      <c r="I390" s="21">
        <f t="shared" si="50"/>
        <v>0</v>
      </c>
    </row>
    <row r="391" spans="1:9" ht="13.5">
      <c r="A391" s="1">
        <v>6</v>
      </c>
      <c r="B391" s="2" t="s">
        <v>388</v>
      </c>
      <c r="C391" s="3">
        <v>256</v>
      </c>
      <c r="D391" s="3">
        <v>2</v>
      </c>
      <c r="E391" s="3">
        <v>3</v>
      </c>
      <c r="F391" s="3">
        <f aca="true" t="shared" si="51" ref="F391:F441">C391-E391-D391</f>
        <v>251</v>
      </c>
      <c r="G391" s="3">
        <v>251</v>
      </c>
      <c r="H391" s="3">
        <f t="shared" si="49"/>
        <v>0</v>
      </c>
      <c r="I391" s="21">
        <f t="shared" si="50"/>
        <v>0</v>
      </c>
    </row>
    <row r="392" spans="1:9" ht="13.5">
      <c r="A392" s="14" t="s">
        <v>475</v>
      </c>
      <c r="B392" s="15" t="s">
        <v>389</v>
      </c>
      <c r="C392" s="16">
        <f>SUM(C393:C397)</f>
        <v>772</v>
      </c>
      <c r="D392" s="16">
        <f>SUM(D393:D397)</f>
        <v>2</v>
      </c>
      <c r="E392" s="16">
        <f>SUM(E393:E397)</f>
        <v>5</v>
      </c>
      <c r="F392" s="16">
        <f t="shared" si="51"/>
        <v>765</v>
      </c>
      <c r="G392" s="16">
        <f>SUM(G393:G397)</f>
        <v>801</v>
      </c>
      <c r="H392" s="16">
        <f>SUM(H393:H397)</f>
        <v>-36</v>
      </c>
      <c r="I392" s="23">
        <f>H392/-16804*2819</f>
        <v>6.039276362770769</v>
      </c>
    </row>
    <row r="393" spans="1:9" ht="13.5">
      <c r="A393" s="1">
        <v>1</v>
      </c>
      <c r="B393" s="2" t="s">
        <v>390</v>
      </c>
      <c r="C393" s="3">
        <v>68</v>
      </c>
      <c r="D393" s="3"/>
      <c r="E393" s="3"/>
      <c r="F393" s="3">
        <f t="shared" si="51"/>
        <v>68</v>
      </c>
      <c r="G393" s="3">
        <v>68</v>
      </c>
      <c r="H393" s="3">
        <f>F393-G393</f>
        <v>0</v>
      </c>
      <c r="I393" s="21">
        <f>H393/-36*6</f>
        <v>0</v>
      </c>
    </row>
    <row r="394" spans="1:9" ht="13.5">
      <c r="A394" s="1">
        <v>2</v>
      </c>
      <c r="B394" s="2" t="s">
        <v>391</v>
      </c>
      <c r="C394" s="3">
        <v>296</v>
      </c>
      <c r="D394" s="3"/>
      <c r="E394" s="3">
        <v>2</v>
      </c>
      <c r="F394" s="3">
        <f t="shared" si="51"/>
        <v>294</v>
      </c>
      <c r="G394" s="3">
        <v>330</v>
      </c>
      <c r="H394" s="3">
        <f>F394-G394</f>
        <v>-36</v>
      </c>
      <c r="I394" s="21">
        <f>H394/-36*6</f>
        <v>6</v>
      </c>
    </row>
    <row r="395" spans="1:9" ht="13.5">
      <c r="A395" s="1">
        <v>3</v>
      </c>
      <c r="B395" s="2" t="s">
        <v>392</v>
      </c>
      <c r="C395" s="3">
        <v>11</v>
      </c>
      <c r="D395" s="3"/>
      <c r="E395" s="3"/>
      <c r="F395" s="3">
        <f t="shared" si="51"/>
        <v>11</v>
      </c>
      <c r="G395" s="3">
        <v>11</v>
      </c>
      <c r="H395" s="3">
        <f>F395-G395</f>
        <v>0</v>
      </c>
      <c r="I395" s="21">
        <f>H395/-36*6</f>
        <v>0</v>
      </c>
    </row>
    <row r="396" spans="1:9" ht="13.5">
      <c r="A396" s="1">
        <v>4</v>
      </c>
      <c r="B396" s="2" t="s">
        <v>393</v>
      </c>
      <c r="C396" s="3">
        <v>122</v>
      </c>
      <c r="D396" s="3"/>
      <c r="E396" s="3">
        <v>2</v>
      </c>
      <c r="F396" s="3">
        <f t="shared" si="51"/>
        <v>120</v>
      </c>
      <c r="G396" s="3">
        <v>120</v>
      </c>
      <c r="H396" s="3">
        <f>F396-G396</f>
        <v>0</v>
      </c>
      <c r="I396" s="21">
        <f>H396/-36*6</f>
        <v>0</v>
      </c>
    </row>
    <row r="397" spans="1:9" ht="13.5">
      <c r="A397" s="1">
        <v>5</v>
      </c>
      <c r="B397" s="2" t="s">
        <v>394</v>
      </c>
      <c r="C397" s="3">
        <v>275</v>
      </c>
      <c r="D397" s="3">
        <v>2</v>
      </c>
      <c r="E397" s="3">
        <v>1</v>
      </c>
      <c r="F397" s="3">
        <f t="shared" si="51"/>
        <v>272</v>
      </c>
      <c r="G397" s="3">
        <v>272</v>
      </c>
      <c r="H397" s="3">
        <f>F397-G397</f>
        <v>0</v>
      </c>
      <c r="I397" s="21">
        <f>H397/-36*6</f>
        <v>0</v>
      </c>
    </row>
    <row r="398" spans="1:9" ht="13.5">
      <c r="A398" s="14" t="s">
        <v>476</v>
      </c>
      <c r="B398" s="15" t="s">
        <v>395</v>
      </c>
      <c r="C398" s="16">
        <f>SUM(C399:C403)</f>
        <v>1892</v>
      </c>
      <c r="D398" s="16">
        <f>SUM(D399:D403)</f>
        <v>7</v>
      </c>
      <c r="E398" s="16">
        <f>SUM(E399:E403)</f>
        <v>18</v>
      </c>
      <c r="F398" s="16">
        <f t="shared" si="51"/>
        <v>1867</v>
      </c>
      <c r="G398" s="16">
        <f>SUM(G399:G403)</f>
        <v>2022</v>
      </c>
      <c r="H398" s="16">
        <f>SUM(H399:H403)</f>
        <v>-155</v>
      </c>
      <c r="I398" s="23">
        <f>H398/-16804*2819</f>
        <v>26.00243989526303</v>
      </c>
    </row>
    <row r="399" spans="1:9" ht="13.5">
      <c r="A399" s="1">
        <v>1</v>
      </c>
      <c r="B399" s="2" t="s">
        <v>396</v>
      </c>
      <c r="C399" s="3">
        <v>241</v>
      </c>
      <c r="D399" s="3"/>
      <c r="E399" s="3">
        <v>6</v>
      </c>
      <c r="F399" s="3">
        <f t="shared" si="51"/>
        <v>235</v>
      </c>
      <c r="G399" s="3">
        <v>235</v>
      </c>
      <c r="H399" s="3">
        <f>F399-G399</f>
        <v>0</v>
      </c>
      <c r="I399" s="21">
        <f>H399/-155*26</f>
        <v>0</v>
      </c>
    </row>
    <row r="400" spans="1:9" ht="13.5">
      <c r="A400" s="1">
        <v>2</v>
      </c>
      <c r="B400" s="2" t="s">
        <v>397</v>
      </c>
      <c r="C400" s="3">
        <v>617</v>
      </c>
      <c r="D400" s="3">
        <v>3</v>
      </c>
      <c r="E400" s="3">
        <v>5</v>
      </c>
      <c r="F400" s="3">
        <f t="shared" si="51"/>
        <v>609</v>
      </c>
      <c r="G400" s="3">
        <v>625</v>
      </c>
      <c r="H400" s="3">
        <f>F400-G400</f>
        <v>-16</v>
      </c>
      <c r="I400" s="21">
        <f>H400/-155*26</f>
        <v>2.6838709677419357</v>
      </c>
    </row>
    <row r="401" spans="1:9" ht="13.5">
      <c r="A401" s="1">
        <v>3</v>
      </c>
      <c r="B401" s="2" t="s">
        <v>398</v>
      </c>
      <c r="C401" s="3">
        <v>95</v>
      </c>
      <c r="D401" s="3"/>
      <c r="E401" s="3"/>
      <c r="F401" s="3">
        <f t="shared" si="51"/>
        <v>95</v>
      </c>
      <c r="G401" s="3">
        <v>234</v>
      </c>
      <c r="H401" s="3">
        <f>F401-G401</f>
        <v>-139</v>
      </c>
      <c r="I401" s="21">
        <f>H401/-155*26</f>
        <v>23.316129032258065</v>
      </c>
    </row>
    <row r="402" spans="1:9" ht="13.5">
      <c r="A402" s="1">
        <v>4</v>
      </c>
      <c r="B402" s="2" t="s">
        <v>399</v>
      </c>
      <c r="C402" s="3">
        <v>210</v>
      </c>
      <c r="D402" s="3"/>
      <c r="E402" s="3">
        <v>1</v>
      </c>
      <c r="F402" s="3">
        <f t="shared" si="51"/>
        <v>209</v>
      </c>
      <c r="G402" s="3">
        <v>209</v>
      </c>
      <c r="H402" s="3">
        <f>F402-G402</f>
        <v>0</v>
      </c>
      <c r="I402" s="21">
        <f>H402/-155*26</f>
        <v>0</v>
      </c>
    </row>
    <row r="403" spans="1:9" ht="13.5">
      <c r="A403" s="1">
        <v>5</v>
      </c>
      <c r="B403" s="2" t="s">
        <v>400</v>
      </c>
      <c r="C403" s="3">
        <v>729</v>
      </c>
      <c r="D403" s="3">
        <v>4</v>
      </c>
      <c r="E403" s="3">
        <v>6</v>
      </c>
      <c r="F403" s="3">
        <f t="shared" si="51"/>
        <v>719</v>
      </c>
      <c r="G403" s="3">
        <v>719</v>
      </c>
      <c r="H403" s="3">
        <f>F403-G403</f>
        <v>0</v>
      </c>
      <c r="I403" s="21">
        <f>H403/-155*26</f>
        <v>0</v>
      </c>
    </row>
    <row r="404" spans="1:9" ht="13.5">
      <c r="A404" s="14" t="s">
        <v>477</v>
      </c>
      <c r="B404" s="15" t="s">
        <v>401</v>
      </c>
      <c r="C404" s="16">
        <f>SUM(C405:C432)</f>
        <v>1957</v>
      </c>
      <c r="D404" s="16">
        <f>SUM(D405:D432)</f>
        <v>3</v>
      </c>
      <c r="E404" s="16">
        <f>SUM(E405:E432)</f>
        <v>6</v>
      </c>
      <c r="F404" s="16">
        <f t="shared" si="51"/>
        <v>1948</v>
      </c>
      <c r="G404" s="16">
        <f>SUM(G405:G432)</f>
        <v>2467</v>
      </c>
      <c r="H404" s="16">
        <f>SUM(H405:H432)</f>
        <v>-519</v>
      </c>
      <c r="I404" s="23">
        <f>H404/-16804*2819</f>
        <v>87.06623422994525</v>
      </c>
    </row>
    <row r="405" spans="1:9" ht="13.5">
      <c r="A405" s="1">
        <v>1</v>
      </c>
      <c r="B405" s="2" t="s">
        <v>402</v>
      </c>
      <c r="C405" s="4">
        <v>303</v>
      </c>
      <c r="D405" s="4">
        <v>1</v>
      </c>
      <c r="E405" s="4">
        <v>1</v>
      </c>
      <c r="F405" s="4">
        <f t="shared" si="51"/>
        <v>301</v>
      </c>
      <c r="G405" s="18">
        <v>301</v>
      </c>
      <c r="H405" s="3">
        <f aca="true" t="shared" si="52" ref="H405:H432">F405-G405</f>
        <v>0</v>
      </c>
      <c r="I405" s="21">
        <f>H405/-519*87</f>
        <v>0</v>
      </c>
    </row>
    <row r="406" spans="1:9" ht="13.5">
      <c r="A406" s="1">
        <v>2</v>
      </c>
      <c r="B406" s="2" t="s">
        <v>403</v>
      </c>
      <c r="C406" s="3">
        <v>58</v>
      </c>
      <c r="D406" s="3"/>
      <c r="E406" s="3"/>
      <c r="F406" s="3">
        <f t="shared" si="51"/>
        <v>58</v>
      </c>
      <c r="G406" s="18">
        <v>116</v>
      </c>
      <c r="H406" s="3">
        <f t="shared" si="52"/>
        <v>-58</v>
      </c>
      <c r="I406" s="21">
        <f aca="true" t="shared" si="53" ref="I406:I432">H406/-519*87</f>
        <v>9.722543352601157</v>
      </c>
    </row>
    <row r="407" spans="1:9" ht="13.5">
      <c r="A407" s="1">
        <v>3</v>
      </c>
      <c r="B407" s="2" t="s">
        <v>404</v>
      </c>
      <c r="C407" s="3">
        <v>165</v>
      </c>
      <c r="D407" s="3"/>
      <c r="E407" s="3"/>
      <c r="F407" s="3">
        <f t="shared" si="51"/>
        <v>165</v>
      </c>
      <c r="G407" s="18">
        <v>166</v>
      </c>
      <c r="H407" s="3">
        <f t="shared" si="52"/>
        <v>-1</v>
      </c>
      <c r="I407" s="21">
        <f t="shared" si="53"/>
        <v>0.1676300578034682</v>
      </c>
    </row>
    <row r="408" spans="1:9" ht="13.5">
      <c r="A408" s="1">
        <v>4</v>
      </c>
      <c r="B408" s="2" t="s">
        <v>405</v>
      </c>
      <c r="C408" s="3">
        <v>78</v>
      </c>
      <c r="D408" s="3"/>
      <c r="E408" s="3"/>
      <c r="F408" s="3">
        <f t="shared" si="51"/>
        <v>78</v>
      </c>
      <c r="G408" s="18">
        <v>131</v>
      </c>
      <c r="H408" s="3">
        <f t="shared" si="52"/>
        <v>-53</v>
      </c>
      <c r="I408" s="21">
        <f t="shared" si="53"/>
        <v>8.884393063583815</v>
      </c>
    </row>
    <row r="409" spans="1:9" ht="13.5">
      <c r="A409" s="1">
        <v>5</v>
      </c>
      <c r="B409" s="2" t="s">
        <v>406</v>
      </c>
      <c r="C409" s="3">
        <v>56</v>
      </c>
      <c r="D409" s="3"/>
      <c r="E409" s="3"/>
      <c r="F409" s="3">
        <f t="shared" si="51"/>
        <v>56</v>
      </c>
      <c r="G409" s="18">
        <v>91</v>
      </c>
      <c r="H409" s="3">
        <f t="shared" si="52"/>
        <v>-35</v>
      </c>
      <c r="I409" s="21">
        <f t="shared" si="53"/>
        <v>5.867052023121388</v>
      </c>
    </row>
    <row r="410" spans="1:9" ht="13.5">
      <c r="A410" s="1">
        <v>6</v>
      </c>
      <c r="B410" s="2" t="s">
        <v>407</v>
      </c>
      <c r="C410" s="3">
        <v>42</v>
      </c>
      <c r="D410" s="3"/>
      <c r="E410" s="3"/>
      <c r="F410" s="3">
        <f t="shared" si="51"/>
        <v>42</v>
      </c>
      <c r="G410" s="18">
        <v>221</v>
      </c>
      <c r="H410" s="3">
        <f t="shared" si="52"/>
        <v>-179</v>
      </c>
      <c r="I410" s="21">
        <f t="shared" si="53"/>
        <v>30.005780346820806</v>
      </c>
    </row>
    <row r="411" spans="1:9" ht="13.5">
      <c r="A411" s="1">
        <v>7</v>
      </c>
      <c r="B411" s="2" t="s">
        <v>408</v>
      </c>
      <c r="C411" s="3">
        <v>115</v>
      </c>
      <c r="D411" s="3"/>
      <c r="E411" s="3"/>
      <c r="F411" s="3">
        <f t="shared" si="51"/>
        <v>115</v>
      </c>
      <c r="G411" s="18">
        <v>115</v>
      </c>
      <c r="H411" s="3">
        <f t="shared" si="52"/>
        <v>0</v>
      </c>
      <c r="I411" s="21">
        <f t="shared" si="53"/>
        <v>0</v>
      </c>
    </row>
    <row r="412" spans="1:9" ht="13.5">
      <c r="A412" s="1">
        <v>8</v>
      </c>
      <c r="B412" s="2" t="s">
        <v>409</v>
      </c>
      <c r="C412" s="3">
        <v>93</v>
      </c>
      <c r="D412" s="3"/>
      <c r="E412" s="3"/>
      <c r="F412" s="3">
        <f t="shared" si="51"/>
        <v>93</v>
      </c>
      <c r="G412" s="18">
        <v>93</v>
      </c>
      <c r="H412" s="3">
        <f t="shared" si="52"/>
        <v>0</v>
      </c>
      <c r="I412" s="21">
        <f t="shared" si="53"/>
        <v>0</v>
      </c>
    </row>
    <row r="413" spans="1:9" ht="13.5">
      <c r="A413" s="1">
        <v>9</v>
      </c>
      <c r="B413" s="2" t="s">
        <v>410</v>
      </c>
      <c r="C413" s="3">
        <v>99</v>
      </c>
      <c r="D413" s="3"/>
      <c r="E413" s="3">
        <v>1</v>
      </c>
      <c r="F413" s="3">
        <f t="shared" si="51"/>
        <v>98</v>
      </c>
      <c r="G413" s="18">
        <v>114</v>
      </c>
      <c r="H413" s="3">
        <f t="shared" si="52"/>
        <v>-16</v>
      </c>
      <c r="I413" s="21">
        <f t="shared" si="53"/>
        <v>2.6820809248554913</v>
      </c>
    </row>
    <row r="414" spans="1:9" ht="13.5">
      <c r="A414" s="1">
        <v>10</v>
      </c>
      <c r="B414" s="2" t="s">
        <v>411</v>
      </c>
      <c r="C414" s="3">
        <v>15</v>
      </c>
      <c r="D414" s="3"/>
      <c r="E414" s="3"/>
      <c r="F414" s="3">
        <f t="shared" si="51"/>
        <v>15</v>
      </c>
      <c r="G414" s="18">
        <v>192</v>
      </c>
      <c r="H414" s="3">
        <f t="shared" si="52"/>
        <v>-177</v>
      </c>
      <c r="I414" s="21">
        <f t="shared" si="53"/>
        <v>29.67052023121387</v>
      </c>
    </row>
    <row r="415" spans="1:9" ht="13.5">
      <c r="A415" s="1">
        <v>11</v>
      </c>
      <c r="B415" s="2" t="s">
        <v>412</v>
      </c>
      <c r="C415" s="3">
        <v>12</v>
      </c>
      <c r="D415" s="3"/>
      <c r="E415" s="3"/>
      <c r="F415" s="3">
        <f t="shared" si="51"/>
        <v>12</v>
      </c>
      <c r="G415" s="18">
        <v>12</v>
      </c>
      <c r="H415" s="3">
        <f t="shared" si="52"/>
        <v>0</v>
      </c>
      <c r="I415" s="21">
        <f t="shared" si="53"/>
        <v>0</v>
      </c>
    </row>
    <row r="416" spans="1:9" ht="13.5">
      <c r="A416" s="1">
        <v>12</v>
      </c>
      <c r="B416" s="2" t="s">
        <v>413</v>
      </c>
      <c r="C416" s="3">
        <v>75</v>
      </c>
      <c r="D416" s="3"/>
      <c r="E416" s="3">
        <v>1</v>
      </c>
      <c r="F416" s="3">
        <f t="shared" si="51"/>
        <v>74</v>
      </c>
      <c r="G416" s="18">
        <v>74</v>
      </c>
      <c r="H416" s="3">
        <f t="shared" si="52"/>
        <v>0</v>
      </c>
      <c r="I416" s="21">
        <f t="shared" si="53"/>
        <v>0</v>
      </c>
    </row>
    <row r="417" spans="1:9" ht="13.5">
      <c r="A417" s="1">
        <v>13</v>
      </c>
      <c r="B417" s="2" t="s">
        <v>414</v>
      </c>
      <c r="C417" s="3">
        <v>9</v>
      </c>
      <c r="D417" s="3"/>
      <c r="E417" s="3"/>
      <c r="F417" s="3">
        <f t="shared" si="51"/>
        <v>9</v>
      </c>
      <c r="G417" s="3">
        <v>9</v>
      </c>
      <c r="H417" s="3">
        <f t="shared" si="52"/>
        <v>0</v>
      </c>
      <c r="I417" s="21">
        <f t="shared" si="53"/>
        <v>0</v>
      </c>
    </row>
    <row r="418" spans="1:9" ht="13.5">
      <c r="A418" s="1">
        <v>14</v>
      </c>
      <c r="B418" s="2" t="s">
        <v>415</v>
      </c>
      <c r="C418" s="3">
        <v>7</v>
      </c>
      <c r="D418" s="3"/>
      <c r="E418" s="3"/>
      <c r="F418" s="3">
        <f t="shared" si="51"/>
        <v>7</v>
      </c>
      <c r="G418" s="3">
        <v>7</v>
      </c>
      <c r="H418" s="3">
        <f t="shared" si="52"/>
        <v>0</v>
      </c>
      <c r="I418" s="21">
        <f t="shared" si="53"/>
        <v>0</v>
      </c>
    </row>
    <row r="419" spans="1:9" ht="13.5">
      <c r="A419" s="1">
        <v>15</v>
      </c>
      <c r="B419" s="2" t="s">
        <v>416</v>
      </c>
      <c r="C419" s="3">
        <v>10</v>
      </c>
      <c r="D419" s="3"/>
      <c r="E419" s="3"/>
      <c r="F419" s="3">
        <f t="shared" si="51"/>
        <v>10</v>
      </c>
      <c r="G419" s="3">
        <v>10</v>
      </c>
      <c r="H419" s="3">
        <f t="shared" si="52"/>
        <v>0</v>
      </c>
      <c r="I419" s="21">
        <f t="shared" si="53"/>
        <v>0</v>
      </c>
    </row>
    <row r="420" spans="1:9" ht="13.5">
      <c r="A420" s="1">
        <v>16</v>
      </c>
      <c r="B420" s="2" t="s">
        <v>417</v>
      </c>
      <c r="C420" s="3">
        <v>1</v>
      </c>
      <c r="D420" s="3"/>
      <c r="E420" s="3"/>
      <c r="F420" s="3">
        <f t="shared" si="51"/>
        <v>1</v>
      </c>
      <c r="G420" s="3">
        <v>1</v>
      </c>
      <c r="H420" s="3">
        <f t="shared" si="52"/>
        <v>0</v>
      </c>
      <c r="I420" s="21">
        <f t="shared" si="53"/>
        <v>0</v>
      </c>
    </row>
    <row r="421" spans="1:9" ht="13.5">
      <c r="A421" s="1">
        <v>17</v>
      </c>
      <c r="B421" s="2" t="s">
        <v>418</v>
      </c>
      <c r="C421" s="3">
        <v>2</v>
      </c>
      <c r="D421" s="3"/>
      <c r="E421" s="3"/>
      <c r="F421" s="3">
        <f t="shared" si="51"/>
        <v>2</v>
      </c>
      <c r="G421" s="3">
        <v>2</v>
      </c>
      <c r="H421" s="3">
        <f t="shared" si="52"/>
        <v>0</v>
      </c>
      <c r="I421" s="21">
        <f t="shared" si="53"/>
        <v>0</v>
      </c>
    </row>
    <row r="422" spans="1:9" ht="13.5">
      <c r="A422" s="1">
        <v>18</v>
      </c>
      <c r="B422" s="2" t="s">
        <v>419</v>
      </c>
      <c r="C422" s="3"/>
      <c r="D422" s="3"/>
      <c r="E422" s="3"/>
      <c r="F422" s="3">
        <f t="shared" si="51"/>
        <v>0</v>
      </c>
      <c r="G422" s="3">
        <v>0</v>
      </c>
      <c r="H422" s="3">
        <f t="shared" si="52"/>
        <v>0</v>
      </c>
      <c r="I422" s="21">
        <f t="shared" si="53"/>
        <v>0</v>
      </c>
    </row>
    <row r="423" spans="1:9" ht="13.5">
      <c r="A423" s="1">
        <v>19</v>
      </c>
      <c r="B423" s="2" t="s">
        <v>420</v>
      </c>
      <c r="C423" s="3">
        <v>24</v>
      </c>
      <c r="D423" s="3"/>
      <c r="E423" s="3">
        <v>1</v>
      </c>
      <c r="F423" s="3">
        <f t="shared" si="51"/>
        <v>23</v>
      </c>
      <c r="G423" s="3">
        <v>23</v>
      </c>
      <c r="H423" s="3">
        <f t="shared" si="52"/>
        <v>0</v>
      </c>
      <c r="I423" s="21">
        <f t="shared" si="53"/>
        <v>0</v>
      </c>
    </row>
    <row r="424" spans="1:9" ht="13.5">
      <c r="A424" s="1">
        <v>20</v>
      </c>
      <c r="B424" s="2" t="s">
        <v>421</v>
      </c>
      <c r="C424" s="3">
        <v>32</v>
      </c>
      <c r="D424" s="3"/>
      <c r="E424" s="3"/>
      <c r="F424" s="3">
        <f t="shared" si="51"/>
        <v>32</v>
      </c>
      <c r="G424" s="3">
        <v>32</v>
      </c>
      <c r="H424" s="3">
        <f t="shared" si="52"/>
        <v>0</v>
      </c>
      <c r="I424" s="21">
        <f t="shared" si="53"/>
        <v>0</v>
      </c>
    </row>
    <row r="425" spans="1:9" ht="13.5">
      <c r="A425" s="1">
        <v>21</v>
      </c>
      <c r="B425" s="2" t="s">
        <v>422</v>
      </c>
      <c r="C425" s="3">
        <v>17</v>
      </c>
      <c r="D425" s="3"/>
      <c r="E425" s="3"/>
      <c r="F425" s="3">
        <f t="shared" si="51"/>
        <v>17</v>
      </c>
      <c r="G425" s="3">
        <v>17</v>
      </c>
      <c r="H425" s="3">
        <f t="shared" si="52"/>
        <v>0</v>
      </c>
      <c r="I425" s="21">
        <f t="shared" si="53"/>
        <v>0</v>
      </c>
    </row>
    <row r="426" spans="1:9" ht="13.5">
      <c r="A426" s="1">
        <v>22</v>
      </c>
      <c r="B426" s="2" t="s">
        <v>423</v>
      </c>
      <c r="C426" s="3">
        <v>39</v>
      </c>
      <c r="D426" s="3"/>
      <c r="E426" s="3"/>
      <c r="F426" s="3">
        <f t="shared" si="51"/>
        <v>39</v>
      </c>
      <c r="G426" s="3">
        <v>39</v>
      </c>
      <c r="H426" s="3">
        <f t="shared" si="52"/>
        <v>0</v>
      </c>
      <c r="I426" s="21">
        <f t="shared" si="53"/>
        <v>0</v>
      </c>
    </row>
    <row r="427" spans="1:9" ht="13.5">
      <c r="A427" s="1">
        <v>23</v>
      </c>
      <c r="B427" s="2" t="s">
        <v>424</v>
      </c>
      <c r="C427" s="3">
        <v>4</v>
      </c>
      <c r="D427" s="3"/>
      <c r="E427" s="3"/>
      <c r="F427" s="3">
        <f t="shared" si="51"/>
        <v>4</v>
      </c>
      <c r="G427" s="3">
        <v>4</v>
      </c>
      <c r="H427" s="3">
        <f t="shared" si="52"/>
        <v>0</v>
      </c>
      <c r="I427" s="21">
        <f t="shared" si="53"/>
        <v>0</v>
      </c>
    </row>
    <row r="428" spans="1:9" ht="13.5">
      <c r="A428" s="1">
        <v>24</v>
      </c>
      <c r="B428" s="2" t="s">
        <v>425</v>
      </c>
      <c r="C428" s="3">
        <v>7</v>
      </c>
      <c r="D428" s="3"/>
      <c r="E428" s="3"/>
      <c r="F428" s="3">
        <f t="shared" si="51"/>
        <v>7</v>
      </c>
      <c r="G428" s="3">
        <v>7</v>
      </c>
      <c r="H428" s="3">
        <f t="shared" si="52"/>
        <v>0</v>
      </c>
      <c r="I428" s="21">
        <f t="shared" si="53"/>
        <v>0</v>
      </c>
    </row>
    <row r="429" spans="1:9" ht="13.5">
      <c r="A429" s="1">
        <v>25</v>
      </c>
      <c r="B429" s="2" t="s">
        <v>426</v>
      </c>
      <c r="C429" s="3"/>
      <c r="D429" s="3"/>
      <c r="E429" s="3"/>
      <c r="F429" s="3">
        <f t="shared" si="51"/>
        <v>0</v>
      </c>
      <c r="G429" s="3">
        <v>0</v>
      </c>
      <c r="H429" s="3">
        <f t="shared" si="52"/>
        <v>0</v>
      </c>
      <c r="I429" s="21">
        <f t="shared" si="53"/>
        <v>0</v>
      </c>
    </row>
    <row r="430" spans="1:9" ht="13.5">
      <c r="A430" s="1">
        <v>26</v>
      </c>
      <c r="B430" s="2" t="s">
        <v>427</v>
      </c>
      <c r="C430" s="3"/>
      <c r="D430" s="3"/>
      <c r="E430" s="3"/>
      <c r="F430" s="3">
        <f t="shared" si="51"/>
        <v>0</v>
      </c>
      <c r="G430" s="3">
        <v>0</v>
      </c>
      <c r="H430" s="3">
        <f t="shared" si="52"/>
        <v>0</v>
      </c>
      <c r="I430" s="21">
        <f t="shared" si="53"/>
        <v>0</v>
      </c>
    </row>
    <row r="431" spans="1:9" ht="13.5">
      <c r="A431" s="1">
        <v>27</v>
      </c>
      <c r="B431" s="2" t="s">
        <v>428</v>
      </c>
      <c r="C431" s="3">
        <v>441</v>
      </c>
      <c r="D431" s="3">
        <v>2</v>
      </c>
      <c r="E431" s="3">
        <v>1</v>
      </c>
      <c r="F431" s="3">
        <f t="shared" si="51"/>
        <v>438</v>
      </c>
      <c r="G431" s="3">
        <v>438</v>
      </c>
      <c r="H431" s="3">
        <f t="shared" si="52"/>
        <v>0</v>
      </c>
      <c r="I431" s="21">
        <f t="shared" si="53"/>
        <v>0</v>
      </c>
    </row>
    <row r="432" spans="1:9" ht="13.5">
      <c r="A432" s="1">
        <v>28</v>
      </c>
      <c r="B432" s="2" t="s">
        <v>429</v>
      </c>
      <c r="C432" s="3">
        <v>253</v>
      </c>
      <c r="D432" s="3"/>
      <c r="E432" s="3">
        <v>1</v>
      </c>
      <c r="F432" s="3">
        <f t="shared" si="51"/>
        <v>252</v>
      </c>
      <c r="G432" s="3">
        <v>252</v>
      </c>
      <c r="H432" s="3">
        <f t="shared" si="52"/>
        <v>0</v>
      </c>
      <c r="I432" s="21">
        <f t="shared" si="53"/>
        <v>0</v>
      </c>
    </row>
    <row r="433" spans="1:9" ht="13.5">
      <c r="A433" s="14" t="s">
        <v>478</v>
      </c>
      <c r="B433" s="15" t="s">
        <v>430</v>
      </c>
      <c r="C433" s="16">
        <f>SUM(C434:C441)</f>
        <v>748</v>
      </c>
      <c r="D433" s="16">
        <f>SUM(D434:D441)</f>
        <v>1</v>
      </c>
      <c r="E433" s="16">
        <f>SUM(E434:E441)</f>
        <v>6</v>
      </c>
      <c r="F433" s="16">
        <f t="shared" si="51"/>
        <v>741</v>
      </c>
      <c r="G433" s="16">
        <f>SUM(G434:G441)</f>
        <v>807</v>
      </c>
      <c r="H433" s="16">
        <f>SUM(H434:H441)</f>
        <v>-66</v>
      </c>
      <c r="I433" s="23">
        <f>H433/-16804*2819</f>
        <v>11.072006665079742</v>
      </c>
    </row>
    <row r="434" spans="1:9" ht="13.5">
      <c r="A434" s="1">
        <v>1</v>
      </c>
      <c r="B434" s="2" t="s">
        <v>431</v>
      </c>
      <c r="C434" s="3">
        <v>303</v>
      </c>
      <c r="D434" s="3">
        <v>1</v>
      </c>
      <c r="E434" s="3">
        <v>1</v>
      </c>
      <c r="F434" s="3">
        <f t="shared" si="51"/>
        <v>301</v>
      </c>
      <c r="G434" s="3">
        <v>367</v>
      </c>
      <c r="H434" s="3">
        <f aca="true" t="shared" si="54" ref="H434:H441">F434-G434</f>
        <v>-66</v>
      </c>
      <c r="I434" s="21">
        <f>H434/66*-11</f>
        <v>11</v>
      </c>
    </row>
    <row r="435" spans="1:9" ht="13.5">
      <c r="A435" s="1">
        <v>2</v>
      </c>
      <c r="B435" s="2" t="s">
        <v>432</v>
      </c>
      <c r="C435" s="3">
        <v>78</v>
      </c>
      <c r="D435" s="3"/>
      <c r="E435" s="3">
        <v>1</v>
      </c>
      <c r="F435" s="3">
        <f t="shared" si="51"/>
        <v>77</v>
      </c>
      <c r="G435" s="3">
        <v>77</v>
      </c>
      <c r="H435" s="3">
        <f t="shared" si="54"/>
        <v>0</v>
      </c>
      <c r="I435" s="21">
        <f aca="true" t="shared" si="55" ref="I435:I441">H435/66*-24</f>
        <v>0</v>
      </c>
    </row>
    <row r="436" spans="1:9" ht="13.5">
      <c r="A436" s="1">
        <v>3</v>
      </c>
      <c r="B436" s="2" t="s">
        <v>433</v>
      </c>
      <c r="C436" s="3">
        <v>11</v>
      </c>
      <c r="D436" s="3"/>
      <c r="E436" s="3"/>
      <c r="F436" s="3">
        <f t="shared" si="51"/>
        <v>11</v>
      </c>
      <c r="G436" s="3">
        <v>11</v>
      </c>
      <c r="H436" s="3">
        <f t="shared" si="54"/>
        <v>0</v>
      </c>
      <c r="I436" s="21">
        <f t="shared" si="55"/>
        <v>0</v>
      </c>
    </row>
    <row r="437" spans="1:9" ht="13.5">
      <c r="A437" s="1">
        <v>4</v>
      </c>
      <c r="B437" s="2" t="s">
        <v>434</v>
      </c>
      <c r="C437" s="3">
        <v>4</v>
      </c>
      <c r="D437" s="3"/>
      <c r="E437" s="3"/>
      <c r="F437" s="3">
        <f t="shared" si="51"/>
        <v>4</v>
      </c>
      <c r="G437" s="3">
        <v>4</v>
      </c>
      <c r="H437" s="3">
        <f t="shared" si="54"/>
        <v>0</v>
      </c>
      <c r="I437" s="21">
        <f t="shared" si="55"/>
        <v>0</v>
      </c>
    </row>
    <row r="438" spans="1:9" ht="13.5">
      <c r="A438" s="1">
        <v>5</v>
      </c>
      <c r="B438" s="2" t="s">
        <v>435</v>
      </c>
      <c r="C438" s="3">
        <v>3</v>
      </c>
      <c r="D438" s="3"/>
      <c r="E438" s="3"/>
      <c r="F438" s="3">
        <f t="shared" si="51"/>
        <v>3</v>
      </c>
      <c r="G438" s="3">
        <v>3</v>
      </c>
      <c r="H438" s="3">
        <f t="shared" si="54"/>
        <v>0</v>
      </c>
      <c r="I438" s="21">
        <f t="shared" si="55"/>
        <v>0</v>
      </c>
    </row>
    <row r="439" spans="1:9" ht="13.5">
      <c r="A439" s="1">
        <v>6</v>
      </c>
      <c r="B439" s="2" t="s">
        <v>436</v>
      </c>
      <c r="C439" s="3">
        <v>2</v>
      </c>
      <c r="D439" s="3"/>
      <c r="E439" s="3"/>
      <c r="F439" s="3">
        <f t="shared" si="51"/>
        <v>2</v>
      </c>
      <c r="G439" s="3">
        <v>2</v>
      </c>
      <c r="H439" s="3">
        <f t="shared" si="54"/>
        <v>0</v>
      </c>
      <c r="I439" s="21">
        <f t="shared" si="55"/>
        <v>0</v>
      </c>
    </row>
    <row r="440" spans="1:9" ht="13.5">
      <c r="A440" s="1">
        <v>7</v>
      </c>
      <c r="B440" s="2" t="s">
        <v>437</v>
      </c>
      <c r="C440" s="3">
        <v>312</v>
      </c>
      <c r="D440" s="3"/>
      <c r="E440" s="3">
        <v>3</v>
      </c>
      <c r="F440" s="3">
        <f t="shared" si="51"/>
        <v>309</v>
      </c>
      <c r="G440" s="3">
        <v>309</v>
      </c>
      <c r="H440" s="3">
        <f t="shared" si="54"/>
        <v>0</v>
      </c>
      <c r="I440" s="21">
        <f t="shared" si="55"/>
        <v>0</v>
      </c>
    </row>
    <row r="441" spans="1:9" ht="13.5">
      <c r="A441" s="1">
        <v>8</v>
      </c>
      <c r="B441" s="2" t="s">
        <v>438</v>
      </c>
      <c r="C441" s="3">
        <v>35</v>
      </c>
      <c r="D441" s="3"/>
      <c r="E441" s="3">
        <v>1</v>
      </c>
      <c r="F441" s="3">
        <f t="shared" si="51"/>
        <v>34</v>
      </c>
      <c r="G441" s="3">
        <v>34</v>
      </c>
      <c r="H441" s="3">
        <f t="shared" si="54"/>
        <v>0</v>
      </c>
      <c r="I441" s="21">
        <f t="shared" si="55"/>
        <v>0</v>
      </c>
    </row>
    <row r="442" spans="1:9" ht="19.5" customHeight="1">
      <c r="A442" s="74" t="s">
        <v>2</v>
      </c>
      <c r="B442" s="74"/>
      <c r="C442" s="5">
        <f aca="true" t="shared" si="56" ref="C442:I442">C433+C404+C398+C392+C385+C356+C346+C338+C324+C310+C295+C284+C267+C258+C248+C241+C202+C196+C160+C134+C133+C127+C119+C108+C100+C88+C77+C65+C48+C27+C6</f>
        <v>121385</v>
      </c>
      <c r="D442" s="5">
        <f t="shared" si="56"/>
        <v>434</v>
      </c>
      <c r="E442" s="5">
        <f t="shared" si="56"/>
        <v>1036</v>
      </c>
      <c r="F442" s="5">
        <f t="shared" si="56"/>
        <v>119915</v>
      </c>
      <c r="G442" s="5">
        <f t="shared" si="56"/>
        <v>136719</v>
      </c>
      <c r="H442" s="5">
        <f t="shared" si="56"/>
        <v>-16804</v>
      </c>
      <c r="I442" s="5">
        <f t="shared" si="56"/>
        <v>2819</v>
      </c>
    </row>
    <row r="443" ht="12.75">
      <c r="G443" s="43"/>
    </row>
  </sheetData>
  <mergeCells count="12">
    <mergeCell ref="C4:C5"/>
    <mergeCell ref="D4:D5"/>
    <mergeCell ref="I4:I5"/>
    <mergeCell ref="A442:B442"/>
    <mergeCell ref="A1:H1"/>
    <mergeCell ref="A2:H2"/>
    <mergeCell ref="E4:E5"/>
    <mergeCell ref="F4:F5"/>
    <mergeCell ref="G4:G5"/>
    <mergeCell ref="H4:H5"/>
    <mergeCell ref="A4:A5"/>
    <mergeCell ref="B4:B5"/>
  </mergeCells>
  <printOptions horizontalCentered="1"/>
  <pageMargins left="0.66" right="0.44" top="0.81" bottom="1.47" header="0.24" footer="1.2"/>
  <pageSetup horizontalDpi="600" verticalDpi="600" orientation="portrait" pageOrder="overThenDown" paperSize="14" r:id="rId1"/>
  <headerFooter alignWithMargins="0">
    <oddFooter>&amp;C&amp;"Arial Narrow,Regular"&amp;9&amp;P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4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.8515625" style="0" customWidth="1"/>
    <col min="2" max="2" width="22.140625" style="0" bestFit="1" customWidth="1"/>
    <col min="3" max="3" width="7.28125" style="0" customWidth="1"/>
    <col min="4" max="4" width="5.421875" style="0" customWidth="1"/>
    <col min="5" max="5" width="5.8515625" style="0" customWidth="1"/>
    <col min="6" max="6" width="7.28125" style="0" customWidth="1"/>
    <col min="7" max="7" width="7.8515625" style="0" customWidth="1"/>
    <col min="8" max="8" width="9.28125" style="0" customWidth="1"/>
  </cols>
  <sheetData>
    <row r="1" spans="1:9" ht="12.75">
      <c r="A1" s="70" t="s">
        <v>481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0" t="s">
        <v>446</v>
      </c>
      <c r="B2" s="70"/>
      <c r="C2" s="70"/>
      <c r="D2" s="70"/>
      <c r="E2" s="70"/>
      <c r="F2" s="70"/>
      <c r="G2" s="70"/>
      <c r="H2" s="70"/>
      <c r="I2" s="70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9" ht="10.5" customHeight="1">
      <c r="A4" s="67" t="s">
        <v>0</v>
      </c>
      <c r="B4" s="67" t="s">
        <v>1</v>
      </c>
      <c r="C4" s="68" t="s">
        <v>483</v>
      </c>
      <c r="D4" s="68" t="s">
        <v>447</v>
      </c>
      <c r="E4" s="68" t="s">
        <v>442</v>
      </c>
      <c r="F4" s="68" t="s">
        <v>443</v>
      </c>
      <c r="G4" s="68" t="s">
        <v>444</v>
      </c>
      <c r="H4" s="69" t="s">
        <v>490</v>
      </c>
      <c r="I4" s="69" t="s">
        <v>497</v>
      </c>
    </row>
    <row r="5" spans="1:9" ht="12" customHeight="1">
      <c r="A5" s="67"/>
      <c r="B5" s="67"/>
      <c r="C5" s="68"/>
      <c r="D5" s="68"/>
      <c r="E5" s="68"/>
      <c r="F5" s="68"/>
      <c r="G5" s="68"/>
      <c r="H5" s="69"/>
      <c r="I5" s="69"/>
    </row>
    <row r="6" spans="1:9" ht="22.5" customHeight="1">
      <c r="A6" s="67"/>
      <c r="B6" s="67"/>
      <c r="C6" s="68"/>
      <c r="D6" s="68"/>
      <c r="E6" s="68"/>
      <c r="F6" s="68"/>
      <c r="G6" s="68"/>
      <c r="H6" s="69"/>
      <c r="I6" s="69"/>
    </row>
    <row r="7" spans="1:9" ht="13.5">
      <c r="A7" s="11" t="s">
        <v>448</v>
      </c>
      <c r="B7" s="12" t="s">
        <v>3</v>
      </c>
      <c r="C7" s="13">
        <f>SUM(C8:C27)</f>
        <v>978</v>
      </c>
      <c r="D7" s="13">
        <f>SUM(D8:D27)</f>
        <v>1</v>
      </c>
      <c r="E7" s="13">
        <f>SUM(E8:E27)</f>
        <v>10</v>
      </c>
      <c r="F7" s="13">
        <f>C7-E7-D7</f>
        <v>967</v>
      </c>
      <c r="G7" s="13">
        <f>SUM(G8:G27)</f>
        <v>1690</v>
      </c>
      <c r="H7" s="13">
        <f>SUM(H8:H27)</f>
        <v>-723</v>
      </c>
      <c r="I7" s="23">
        <f>H7/-11502*3774</f>
        <v>237.22848200312987</v>
      </c>
    </row>
    <row r="8" spans="1:9" ht="13.5">
      <c r="A8" s="1">
        <v>1</v>
      </c>
      <c r="B8" s="2" t="s">
        <v>4</v>
      </c>
      <c r="C8" s="3">
        <v>37</v>
      </c>
      <c r="D8" s="3"/>
      <c r="E8" s="3"/>
      <c r="F8" s="3">
        <f aca="true" t="shared" si="0" ref="F8:F71">C8-E8-D8</f>
        <v>37</v>
      </c>
      <c r="G8" s="3">
        <v>62</v>
      </c>
      <c r="H8" s="3">
        <f>F8-G8</f>
        <v>-25</v>
      </c>
      <c r="I8" s="21">
        <f>H8/-723*237</f>
        <v>8.195020746887968</v>
      </c>
    </row>
    <row r="9" spans="1:9" ht="13.5">
      <c r="A9" s="1">
        <v>2</v>
      </c>
      <c r="B9" s="2" t="s">
        <v>5</v>
      </c>
      <c r="C9" s="3">
        <v>15</v>
      </c>
      <c r="D9" s="3"/>
      <c r="E9" s="3"/>
      <c r="F9" s="3">
        <f t="shared" si="0"/>
        <v>15</v>
      </c>
      <c r="G9" s="3">
        <v>41</v>
      </c>
      <c r="H9" s="3">
        <f aca="true" t="shared" si="1" ref="H9:H27">F9-G9</f>
        <v>-26</v>
      </c>
      <c r="I9" s="21">
        <f aca="true" t="shared" si="2" ref="I9:I27">H9/-723*237</f>
        <v>8.522821576763485</v>
      </c>
    </row>
    <row r="10" spans="1:9" ht="13.5">
      <c r="A10" s="1">
        <v>3</v>
      </c>
      <c r="B10" s="2" t="s">
        <v>6</v>
      </c>
      <c r="C10" s="3">
        <v>10</v>
      </c>
      <c r="D10" s="3"/>
      <c r="E10" s="3"/>
      <c r="F10" s="3">
        <f t="shared" si="0"/>
        <v>10</v>
      </c>
      <c r="G10" s="3">
        <v>242</v>
      </c>
      <c r="H10" s="3">
        <f t="shared" si="1"/>
        <v>-232</v>
      </c>
      <c r="I10" s="21">
        <f t="shared" si="2"/>
        <v>76.04979253112033</v>
      </c>
    </row>
    <row r="11" spans="1:9" ht="13.5">
      <c r="A11" s="1">
        <v>4</v>
      </c>
      <c r="B11" s="2" t="s">
        <v>7</v>
      </c>
      <c r="C11" s="3">
        <v>82</v>
      </c>
      <c r="D11" s="3"/>
      <c r="E11" s="3"/>
      <c r="F11" s="3">
        <f t="shared" si="0"/>
        <v>82</v>
      </c>
      <c r="G11" s="3">
        <v>111</v>
      </c>
      <c r="H11" s="3">
        <f t="shared" si="1"/>
        <v>-29</v>
      </c>
      <c r="I11" s="21">
        <f t="shared" si="2"/>
        <v>9.506224066390041</v>
      </c>
    </row>
    <row r="12" spans="1:9" ht="13.5">
      <c r="A12" s="1">
        <v>5</v>
      </c>
      <c r="B12" s="2" t="s">
        <v>8</v>
      </c>
      <c r="C12" s="3">
        <v>79</v>
      </c>
      <c r="D12" s="3"/>
      <c r="E12" s="3"/>
      <c r="F12" s="3">
        <f t="shared" si="0"/>
        <v>79</v>
      </c>
      <c r="G12" s="3">
        <v>130</v>
      </c>
      <c r="H12" s="3">
        <f t="shared" si="1"/>
        <v>-51</v>
      </c>
      <c r="I12" s="21">
        <f t="shared" si="2"/>
        <v>16.717842323651453</v>
      </c>
    </row>
    <row r="13" spans="1:9" ht="13.5">
      <c r="A13" s="1">
        <v>6</v>
      </c>
      <c r="B13" s="2" t="s">
        <v>9</v>
      </c>
      <c r="C13" s="3">
        <v>45</v>
      </c>
      <c r="D13" s="3"/>
      <c r="E13" s="3"/>
      <c r="F13" s="3">
        <f t="shared" si="0"/>
        <v>45</v>
      </c>
      <c r="G13" s="3">
        <v>45</v>
      </c>
      <c r="H13" s="3">
        <v>0</v>
      </c>
      <c r="I13" s="21">
        <f t="shared" si="2"/>
        <v>0</v>
      </c>
    </row>
    <row r="14" spans="1:9" ht="13.5">
      <c r="A14" s="1">
        <v>7</v>
      </c>
      <c r="B14" s="2" t="s">
        <v>10</v>
      </c>
      <c r="C14" s="3">
        <v>69</v>
      </c>
      <c r="D14" s="3"/>
      <c r="E14" s="3"/>
      <c r="F14" s="3">
        <f t="shared" si="0"/>
        <v>69</v>
      </c>
      <c r="G14" s="3">
        <v>69</v>
      </c>
      <c r="H14" s="3">
        <f t="shared" si="1"/>
        <v>0</v>
      </c>
      <c r="I14" s="21">
        <f t="shared" si="2"/>
        <v>0</v>
      </c>
    </row>
    <row r="15" spans="1:9" ht="13.5">
      <c r="A15" s="1">
        <v>8</v>
      </c>
      <c r="B15" s="2" t="s">
        <v>11</v>
      </c>
      <c r="C15" s="3">
        <v>5</v>
      </c>
      <c r="D15" s="3"/>
      <c r="E15" s="3"/>
      <c r="F15" s="3">
        <f t="shared" si="0"/>
        <v>5</v>
      </c>
      <c r="G15" s="3">
        <v>289</v>
      </c>
      <c r="H15" s="3">
        <f t="shared" si="1"/>
        <v>-284</v>
      </c>
      <c r="I15" s="21">
        <f t="shared" si="2"/>
        <v>93.0954356846473</v>
      </c>
    </row>
    <row r="16" spans="1:9" ht="13.5">
      <c r="A16" s="1">
        <v>9</v>
      </c>
      <c r="B16" s="2" t="s">
        <v>12</v>
      </c>
      <c r="C16" s="3">
        <v>1</v>
      </c>
      <c r="D16" s="3"/>
      <c r="E16" s="3"/>
      <c r="F16" s="3">
        <f t="shared" si="0"/>
        <v>1</v>
      </c>
      <c r="G16" s="3">
        <v>7</v>
      </c>
      <c r="H16" s="3">
        <f t="shared" si="1"/>
        <v>-6</v>
      </c>
      <c r="I16" s="21">
        <f t="shared" si="2"/>
        <v>1.966804979253112</v>
      </c>
    </row>
    <row r="17" spans="1:9" ht="13.5">
      <c r="A17" s="1">
        <v>10</v>
      </c>
      <c r="B17" s="2" t="s">
        <v>13</v>
      </c>
      <c r="C17" s="3">
        <v>2</v>
      </c>
      <c r="D17" s="3"/>
      <c r="E17" s="3"/>
      <c r="F17" s="3">
        <f t="shared" si="0"/>
        <v>2</v>
      </c>
      <c r="G17" s="3">
        <v>9</v>
      </c>
      <c r="H17" s="3">
        <f t="shared" si="1"/>
        <v>-7</v>
      </c>
      <c r="I17" s="21">
        <f t="shared" si="2"/>
        <v>2.294605809128631</v>
      </c>
    </row>
    <row r="18" spans="1:9" ht="13.5">
      <c r="A18" s="1">
        <v>11</v>
      </c>
      <c r="B18" s="2" t="s">
        <v>14</v>
      </c>
      <c r="C18" s="3">
        <v>110</v>
      </c>
      <c r="D18" s="3"/>
      <c r="E18" s="3"/>
      <c r="F18" s="3">
        <f t="shared" si="0"/>
        <v>110</v>
      </c>
      <c r="G18" s="3">
        <v>120</v>
      </c>
      <c r="H18" s="3">
        <f t="shared" si="1"/>
        <v>-10</v>
      </c>
      <c r="I18" s="21">
        <f t="shared" si="2"/>
        <v>3.2780082987551866</v>
      </c>
    </row>
    <row r="19" spans="1:9" ht="13.5">
      <c r="A19" s="1">
        <v>12</v>
      </c>
      <c r="B19" s="2" t="s">
        <v>15</v>
      </c>
      <c r="C19" s="3">
        <v>2</v>
      </c>
      <c r="D19" s="3"/>
      <c r="E19" s="3"/>
      <c r="F19" s="3">
        <f t="shared" si="0"/>
        <v>2</v>
      </c>
      <c r="G19" s="3">
        <v>2</v>
      </c>
      <c r="H19" s="3">
        <f t="shared" si="1"/>
        <v>0</v>
      </c>
      <c r="I19" s="21">
        <f t="shared" si="2"/>
        <v>0</v>
      </c>
    </row>
    <row r="20" spans="1:9" ht="13.5">
      <c r="A20" s="1">
        <v>13</v>
      </c>
      <c r="B20" s="2" t="s">
        <v>16</v>
      </c>
      <c r="C20" s="3"/>
      <c r="D20" s="3"/>
      <c r="E20" s="3"/>
      <c r="F20" s="3">
        <f t="shared" si="0"/>
        <v>0</v>
      </c>
      <c r="G20" s="3"/>
      <c r="H20" s="3">
        <f t="shared" si="1"/>
        <v>0</v>
      </c>
      <c r="I20" s="21">
        <f t="shared" si="2"/>
        <v>0</v>
      </c>
    </row>
    <row r="21" spans="1:9" ht="13.5">
      <c r="A21" s="1">
        <v>14</v>
      </c>
      <c r="B21" s="2" t="s">
        <v>17</v>
      </c>
      <c r="C21" s="3"/>
      <c r="D21" s="3"/>
      <c r="E21" s="3"/>
      <c r="F21" s="3">
        <f t="shared" si="0"/>
        <v>0</v>
      </c>
      <c r="G21" s="3"/>
      <c r="H21" s="3">
        <f t="shared" si="1"/>
        <v>0</v>
      </c>
      <c r="I21" s="21">
        <f t="shared" si="2"/>
        <v>0</v>
      </c>
    </row>
    <row r="22" spans="1:9" ht="13.5">
      <c r="A22" s="1">
        <v>15</v>
      </c>
      <c r="B22" s="2" t="s">
        <v>18</v>
      </c>
      <c r="C22" s="3">
        <v>1</v>
      </c>
      <c r="D22" s="3"/>
      <c r="E22" s="3"/>
      <c r="F22" s="3">
        <f t="shared" si="0"/>
        <v>1</v>
      </c>
      <c r="G22" s="3">
        <v>1</v>
      </c>
      <c r="H22" s="3">
        <f t="shared" si="1"/>
        <v>0</v>
      </c>
      <c r="I22" s="21">
        <f t="shared" si="2"/>
        <v>0</v>
      </c>
    </row>
    <row r="23" spans="1:9" ht="13.5">
      <c r="A23" s="1">
        <v>16</v>
      </c>
      <c r="B23" s="2" t="s">
        <v>19</v>
      </c>
      <c r="C23" s="3"/>
      <c r="D23" s="3"/>
      <c r="E23" s="3"/>
      <c r="F23" s="3">
        <f t="shared" si="0"/>
        <v>0</v>
      </c>
      <c r="G23" s="3"/>
      <c r="H23" s="3">
        <f t="shared" si="1"/>
        <v>0</v>
      </c>
      <c r="I23" s="21">
        <f t="shared" si="2"/>
        <v>0</v>
      </c>
    </row>
    <row r="24" spans="1:9" ht="13.5">
      <c r="A24" s="1">
        <v>17</v>
      </c>
      <c r="B24" s="2" t="s">
        <v>20</v>
      </c>
      <c r="C24" s="3">
        <v>217</v>
      </c>
      <c r="D24" s="3">
        <v>1</v>
      </c>
      <c r="E24" s="3">
        <v>5</v>
      </c>
      <c r="F24" s="3">
        <f t="shared" si="0"/>
        <v>211</v>
      </c>
      <c r="G24" s="3">
        <v>259</v>
      </c>
      <c r="H24" s="3">
        <f t="shared" si="1"/>
        <v>-48</v>
      </c>
      <c r="I24" s="21">
        <f t="shared" si="2"/>
        <v>15.734439834024895</v>
      </c>
    </row>
    <row r="25" spans="1:9" ht="13.5">
      <c r="A25" s="1">
        <v>18</v>
      </c>
      <c r="B25" s="2" t="s">
        <v>21</v>
      </c>
      <c r="C25" s="3">
        <v>18</v>
      </c>
      <c r="D25" s="3"/>
      <c r="E25" s="3"/>
      <c r="F25" s="3">
        <f t="shared" si="0"/>
        <v>18</v>
      </c>
      <c r="G25" s="3">
        <v>23</v>
      </c>
      <c r="H25" s="3">
        <f t="shared" si="1"/>
        <v>-5</v>
      </c>
      <c r="I25" s="21">
        <f t="shared" si="2"/>
        <v>1.6390041493775933</v>
      </c>
    </row>
    <row r="26" spans="1:9" ht="13.5">
      <c r="A26" s="1">
        <v>19</v>
      </c>
      <c r="B26" s="2" t="s">
        <v>22</v>
      </c>
      <c r="C26" s="3">
        <v>153</v>
      </c>
      <c r="D26" s="3"/>
      <c r="E26" s="3">
        <v>1</v>
      </c>
      <c r="F26" s="3">
        <f t="shared" si="0"/>
        <v>152</v>
      </c>
      <c r="G26" s="3">
        <v>152</v>
      </c>
      <c r="H26" s="3">
        <f t="shared" si="1"/>
        <v>0</v>
      </c>
      <c r="I26" s="21">
        <f t="shared" si="2"/>
        <v>0</v>
      </c>
    </row>
    <row r="27" spans="1:9" ht="13.5">
      <c r="A27" s="1">
        <v>20</v>
      </c>
      <c r="B27" s="2" t="s">
        <v>23</v>
      </c>
      <c r="C27" s="3">
        <v>132</v>
      </c>
      <c r="D27" s="3"/>
      <c r="E27" s="3">
        <v>4</v>
      </c>
      <c r="F27" s="3">
        <f t="shared" si="0"/>
        <v>128</v>
      </c>
      <c r="G27" s="3">
        <v>128</v>
      </c>
      <c r="H27" s="3">
        <f t="shared" si="1"/>
        <v>0</v>
      </c>
      <c r="I27" s="21">
        <f t="shared" si="2"/>
        <v>0</v>
      </c>
    </row>
    <row r="28" spans="1:9" ht="13.5">
      <c r="A28" s="14" t="s">
        <v>449</v>
      </c>
      <c r="B28" s="15" t="s">
        <v>24</v>
      </c>
      <c r="C28" s="16">
        <f>SUM(C29:C48)</f>
        <v>2646</v>
      </c>
      <c r="D28" s="16">
        <f>SUM(D29:D48)</f>
        <v>23</v>
      </c>
      <c r="E28" s="16">
        <f>SUM(E29:E48)</f>
        <v>66</v>
      </c>
      <c r="F28" s="16">
        <f t="shared" si="0"/>
        <v>2557</v>
      </c>
      <c r="G28" s="16">
        <f>SUM(G29:G48)</f>
        <v>3155</v>
      </c>
      <c r="H28" s="16">
        <f>SUM(H29:H48)</f>
        <v>-598</v>
      </c>
      <c r="I28" s="23">
        <f>H28/-11502*3774</f>
        <v>196.21387584767865</v>
      </c>
    </row>
    <row r="29" spans="1:9" ht="13.5">
      <c r="A29" s="1">
        <v>1</v>
      </c>
      <c r="B29" s="2" t="s">
        <v>25</v>
      </c>
      <c r="C29" s="3">
        <v>38</v>
      </c>
      <c r="D29" s="3"/>
      <c r="E29" s="3"/>
      <c r="F29" s="3">
        <f t="shared" si="0"/>
        <v>38</v>
      </c>
      <c r="G29" s="3">
        <v>38</v>
      </c>
      <c r="H29" s="3">
        <v>0</v>
      </c>
      <c r="I29" s="21">
        <f>H29/598*-196</f>
        <v>0</v>
      </c>
    </row>
    <row r="30" spans="1:9" ht="13.5">
      <c r="A30" s="1">
        <v>2</v>
      </c>
      <c r="B30" s="2" t="s">
        <v>26</v>
      </c>
      <c r="C30" s="3">
        <v>21</v>
      </c>
      <c r="D30" s="3"/>
      <c r="E30" s="3">
        <v>1</v>
      </c>
      <c r="F30" s="3">
        <f t="shared" si="0"/>
        <v>20</v>
      </c>
      <c r="G30" s="3">
        <v>177</v>
      </c>
      <c r="H30" s="3">
        <f aca="true" t="shared" si="3" ref="H30:H48">F30-G30</f>
        <v>-157</v>
      </c>
      <c r="I30" s="21">
        <f aca="true" t="shared" si="4" ref="I30:I48">H30/598*-196</f>
        <v>51.45819397993311</v>
      </c>
    </row>
    <row r="31" spans="1:9" ht="13.5">
      <c r="A31" s="1">
        <v>3</v>
      </c>
      <c r="B31" s="2" t="s">
        <v>27</v>
      </c>
      <c r="C31" s="3">
        <v>6</v>
      </c>
      <c r="D31" s="3"/>
      <c r="E31" s="3"/>
      <c r="F31" s="3">
        <f t="shared" si="0"/>
        <v>6</v>
      </c>
      <c r="G31" s="3">
        <v>6</v>
      </c>
      <c r="H31" s="3">
        <f t="shared" si="3"/>
        <v>0</v>
      </c>
      <c r="I31" s="21">
        <f t="shared" si="4"/>
        <v>0</v>
      </c>
    </row>
    <row r="32" spans="1:9" ht="13.5">
      <c r="A32" s="1">
        <v>4</v>
      </c>
      <c r="B32" s="2" t="s">
        <v>28</v>
      </c>
      <c r="C32" s="3">
        <v>184</v>
      </c>
      <c r="D32" s="3">
        <v>2</v>
      </c>
      <c r="E32" s="3">
        <v>2</v>
      </c>
      <c r="F32" s="3">
        <f t="shared" si="0"/>
        <v>180</v>
      </c>
      <c r="G32" s="3">
        <v>180</v>
      </c>
      <c r="H32" s="3">
        <v>0</v>
      </c>
      <c r="I32" s="21">
        <f t="shared" si="4"/>
        <v>0</v>
      </c>
    </row>
    <row r="33" spans="1:9" ht="13.5">
      <c r="A33" s="1">
        <v>5</v>
      </c>
      <c r="B33" s="2" t="s">
        <v>29</v>
      </c>
      <c r="C33" s="3">
        <v>59</v>
      </c>
      <c r="D33" s="3"/>
      <c r="E33" s="3">
        <v>1</v>
      </c>
      <c r="F33" s="3">
        <f t="shared" si="0"/>
        <v>58</v>
      </c>
      <c r="G33" s="3">
        <v>58</v>
      </c>
      <c r="H33" s="3">
        <v>0</v>
      </c>
      <c r="I33" s="21">
        <f t="shared" si="4"/>
        <v>0</v>
      </c>
    </row>
    <row r="34" spans="1:9" ht="13.5">
      <c r="A34" s="1">
        <v>6</v>
      </c>
      <c r="B34" s="2" t="s">
        <v>30</v>
      </c>
      <c r="C34" s="3">
        <v>82</v>
      </c>
      <c r="D34" s="3"/>
      <c r="E34" s="3">
        <v>3</v>
      </c>
      <c r="F34" s="3">
        <f t="shared" si="0"/>
        <v>79</v>
      </c>
      <c r="G34" s="3">
        <v>79</v>
      </c>
      <c r="H34" s="3">
        <v>0</v>
      </c>
      <c r="I34" s="21">
        <f t="shared" si="4"/>
        <v>0</v>
      </c>
    </row>
    <row r="35" spans="1:9" ht="13.5">
      <c r="A35" s="1">
        <v>7</v>
      </c>
      <c r="B35" s="2" t="s">
        <v>31</v>
      </c>
      <c r="C35" s="3">
        <v>137</v>
      </c>
      <c r="D35" s="3"/>
      <c r="E35" s="3"/>
      <c r="F35" s="3">
        <f t="shared" si="0"/>
        <v>137</v>
      </c>
      <c r="G35" s="3">
        <v>137</v>
      </c>
      <c r="H35" s="3">
        <v>0</v>
      </c>
      <c r="I35" s="21">
        <f t="shared" si="4"/>
        <v>0</v>
      </c>
    </row>
    <row r="36" spans="1:9" ht="13.5">
      <c r="A36" s="1">
        <v>8</v>
      </c>
      <c r="B36" s="2" t="s">
        <v>32</v>
      </c>
      <c r="C36" s="3">
        <v>59</v>
      </c>
      <c r="D36" s="3"/>
      <c r="E36" s="3"/>
      <c r="F36" s="3">
        <f t="shared" si="0"/>
        <v>59</v>
      </c>
      <c r="G36" s="3">
        <v>82</v>
      </c>
      <c r="H36" s="3">
        <f t="shared" si="3"/>
        <v>-23</v>
      </c>
      <c r="I36" s="21">
        <f t="shared" si="4"/>
        <v>7.538461538461539</v>
      </c>
    </row>
    <row r="37" spans="1:9" ht="13.5">
      <c r="A37" s="1">
        <v>9</v>
      </c>
      <c r="B37" s="2" t="s">
        <v>33</v>
      </c>
      <c r="C37" s="3">
        <v>159</v>
      </c>
      <c r="D37" s="3"/>
      <c r="E37" s="3">
        <v>4</v>
      </c>
      <c r="F37" s="3">
        <f t="shared" si="0"/>
        <v>155</v>
      </c>
      <c r="G37" s="3">
        <v>179</v>
      </c>
      <c r="H37" s="3">
        <f t="shared" si="3"/>
        <v>-24</v>
      </c>
      <c r="I37" s="21">
        <f t="shared" si="4"/>
        <v>7.866220735785953</v>
      </c>
    </row>
    <row r="38" spans="1:9" ht="13.5">
      <c r="A38" s="1">
        <v>10</v>
      </c>
      <c r="B38" s="2" t="s">
        <v>34</v>
      </c>
      <c r="C38" s="3">
        <v>279</v>
      </c>
      <c r="D38" s="3">
        <v>4</v>
      </c>
      <c r="E38" s="3">
        <v>3</v>
      </c>
      <c r="F38" s="3">
        <f t="shared" si="0"/>
        <v>272</v>
      </c>
      <c r="G38" s="3">
        <v>272</v>
      </c>
      <c r="H38" s="3">
        <v>0</v>
      </c>
      <c r="I38" s="21">
        <f t="shared" si="4"/>
        <v>0</v>
      </c>
    </row>
    <row r="39" spans="1:9" ht="13.5">
      <c r="A39" s="1">
        <v>11</v>
      </c>
      <c r="B39" s="2" t="s">
        <v>35</v>
      </c>
      <c r="C39" s="3">
        <v>83</v>
      </c>
      <c r="D39" s="3"/>
      <c r="E39" s="3">
        <v>2</v>
      </c>
      <c r="F39" s="3">
        <f t="shared" si="0"/>
        <v>81</v>
      </c>
      <c r="G39" s="3">
        <v>102</v>
      </c>
      <c r="H39" s="3">
        <f t="shared" si="3"/>
        <v>-21</v>
      </c>
      <c r="I39" s="21">
        <f t="shared" si="4"/>
        <v>6.882943143812708</v>
      </c>
    </row>
    <row r="40" spans="1:9" ht="13.5">
      <c r="A40" s="1">
        <v>12</v>
      </c>
      <c r="B40" s="2" t="s">
        <v>36</v>
      </c>
      <c r="C40" s="3">
        <v>201</v>
      </c>
      <c r="D40" s="3"/>
      <c r="E40" s="3">
        <v>10</v>
      </c>
      <c r="F40" s="3">
        <f t="shared" si="0"/>
        <v>191</v>
      </c>
      <c r="G40" s="3">
        <v>500</v>
      </c>
      <c r="H40" s="3">
        <f t="shared" si="3"/>
        <v>-309</v>
      </c>
      <c r="I40" s="21">
        <f t="shared" si="4"/>
        <v>101.27759197324414</v>
      </c>
    </row>
    <row r="41" spans="1:9" ht="13.5">
      <c r="A41" s="1">
        <v>13</v>
      </c>
      <c r="B41" s="2" t="s">
        <v>37</v>
      </c>
      <c r="C41" s="3">
        <v>77</v>
      </c>
      <c r="D41" s="3"/>
      <c r="E41" s="3">
        <v>2</v>
      </c>
      <c r="F41" s="3">
        <f t="shared" si="0"/>
        <v>75</v>
      </c>
      <c r="G41" s="3">
        <v>75</v>
      </c>
      <c r="H41" s="3">
        <v>0</v>
      </c>
      <c r="I41" s="21">
        <f t="shared" si="4"/>
        <v>0</v>
      </c>
    </row>
    <row r="42" spans="1:9" ht="13.5">
      <c r="A42" s="1">
        <v>14</v>
      </c>
      <c r="B42" s="2" t="s">
        <v>38</v>
      </c>
      <c r="C42" s="3">
        <v>85</v>
      </c>
      <c r="D42" s="3"/>
      <c r="E42" s="3">
        <v>1</v>
      </c>
      <c r="F42" s="3">
        <f t="shared" si="0"/>
        <v>84</v>
      </c>
      <c r="G42" s="3">
        <v>111</v>
      </c>
      <c r="H42" s="3">
        <f t="shared" si="3"/>
        <v>-27</v>
      </c>
      <c r="I42" s="21">
        <f t="shared" si="4"/>
        <v>8.849498327759196</v>
      </c>
    </row>
    <row r="43" spans="1:9" ht="13.5">
      <c r="A43" s="1">
        <v>15</v>
      </c>
      <c r="B43" s="2" t="s">
        <v>39</v>
      </c>
      <c r="C43" s="3">
        <v>4</v>
      </c>
      <c r="D43" s="3"/>
      <c r="E43" s="3"/>
      <c r="F43" s="3">
        <f t="shared" si="0"/>
        <v>4</v>
      </c>
      <c r="G43" s="3">
        <v>4</v>
      </c>
      <c r="H43" s="3">
        <f t="shared" si="3"/>
        <v>0</v>
      </c>
      <c r="I43" s="21">
        <f t="shared" si="4"/>
        <v>0</v>
      </c>
    </row>
    <row r="44" spans="1:9" ht="13.5">
      <c r="A44" s="1">
        <v>16</v>
      </c>
      <c r="B44" s="2" t="s">
        <v>40</v>
      </c>
      <c r="C44" s="3">
        <v>257</v>
      </c>
      <c r="D44" s="3">
        <v>8</v>
      </c>
      <c r="E44" s="3">
        <v>5</v>
      </c>
      <c r="F44" s="3">
        <f t="shared" si="0"/>
        <v>244</v>
      </c>
      <c r="G44" s="3">
        <v>250</v>
      </c>
      <c r="H44" s="3">
        <f t="shared" si="3"/>
        <v>-6</v>
      </c>
      <c r="I44" s="21">
        <f t="shared" si="4"/>
        <v>1.9665551839464883</v>
      </c>
    </row>
    <row r="45" spans="1:9" ht="13.5">
      <c r="A45" s="1">
        <v>17</v>
      </c>
      <c r="B45" s="2" t="s">
        <v>41</v>
      </c>
      <c r="C45" s="3">
        <v>16</v>
      </c>
      <c r="D45" s="3"/>
      <c r="E45" s="3"/>
      <c r="F45" s="3">
        <f t="shared" si="0"/>
        <v>16</v>
      </c>
      <c r="G45" s="3">
        <v>47</v>
      </c>
      <c r="H45" s="3">
        <f t="shared" si="3"/>
        <v>-31</v>
      </c>
      <c r="I45" s="21">
        <f t="shared" si="4"/>
        <v>10.160535117056856</v>
      </c>
    </row>
    <row r="46" spans="1:9" ht="13.5">
      <c r="A46" s="1">
        <v>18</v>
      </c>
      <c r="B46" s="2" t="s">
        <v>42</v>
      </c>
      <c r="C46" s="3">
        <v>737</v>
      </c>
      <c r="D46" s="3">
        <v>8</v>
      </c>
      <c r="E46" s="3">
        <v>30</v>
      </c>
      <c r="F46" s="3">
        <f t="shared" si="0"/>
        <v>699</v>
      </c>
      <c r="G46" s="3">
        <v>699</v>
      </c>
      <c r="H46" s="3">
        <v>0</v>
      </c>
      <c r="I46" s="21">
        <f t="shared" si="4"/>
        <v>0</v>
      </c>
    </row>
    <row r="47" spans="1:9" ht="13.5">
      <c r="A47" s="1">
        <v>19</v>
      </c>
      <c r="B47" s="2" t="s">
        <v>43</v>
      </c>
      <c r="C47" s="3">
        <v>85</v>
      </c>
      <c r="D47" s="3"/>
      <c r="E47" s="3">
        <v>2</v>
      </c>
      <c r="F47" s="3">
        <f t="shared" si="0"/>
        <v>83</v>
      </c>
      <c r="G47" s="3">
        <v>83</v>
      </c>
      <c r="H47" s="3">
        <v>0</v>
      </c>
      <c r="I47" s="21">
        <f t="shared" si="4"/>
        <v>0</v>
      </c>
    </row>
    <row r="48" spans="1:9" ht="13.5">
      <c r="A48" s="1">
        <v>20</v>
      </c>
      <c r="B48" s="2" t="s">
        <v>44</v>
      </c>
      <c r="C48" s="3">
        <v>77</v>
      </c>
      <c r="D48" s="3">
        <v>1</v>
      </c>
      <c r="E48" s="3"/>
      <c r="F48" s="3">
        <f t="shared" si="0"/>
        <v>76</v>
      </c>
      <c r="G48" s="3">
        <v>76</v>
      </c>
      <c r="H48" s="3">
        <f t="shared" si="3"/>
        <v>0</v>
      </c>
      <c r="I48" s="21">
        <f t="shared" si="4"/>
        <v>0</v>
      </c>
    </row>
    <row r="49" spans="1:9" ht="13.5">
      <c r="A49" s="14" t="s">
        <v>450</v>
      </c>
      <c r="B49" s="15" t="s">
        <v>45</v>
      </c>
      <c r="C49" s="16">
        <f>SUM(C50:C65)</f>
        <v>2435</v>
      </c>
      <c r="D49" s="16">
        <f>SUM(D50:D65)</f>
        <v>16</v>
      </c>
      <c r="E49" s="16">
        <f>SUM(E50:E65)</f>
        <v>43</v>
      </c>
      <c r="F49" s="16">
        <f t="shared" si="0"/>
        <v>2376</v>
      </c>
      <c r="G49" s="16">
        <f>SUM(G50:G65)</f>
        <v>3403</v>
      </c>
      <c r="H49" s="16">
        <f>SUM(H50:H65)</f>
        <v>-1027</v>
      </c>
      <c r="I49" s="23">
        <f>H49/-11502*3774</f>
        <v>336.9760041731873</v>
      </c>
    </row>
    <row r="50" spans="1:9" ht="13.5">
      <c r="A50" s="1">
        <v>1</v>
      </c>
      <c r="B50" s="2" t="s">
        <v>46</v>
      </c>
      <c r="C50" s="3">
        <v>47</v>
      </c>
      <c r="D50" s="3"/>
      <c r="E50" s="3"/>
      <c r="F50" s="3">
        <f t="shared" si="0"/>
        <v>47</v>
      </c>
      <c r="G50" s="3">
        <v>48</v>
      </c>
      <c r="H50" s="3">
        <f aca="true" t="shared" si="5" ref="H50:H65">F50-G50</f>
        <v>-1</v>
      </c>
      <c r="I50" s="21">
        <f>H50/-1027*337</f>
        <v>0.3281402142161636</v>
      </c>
    </row>
    <row r="51" spans="1:9" ht="13.5">
      <c r="A51" s="1">
        <v>2</v>
      </c>
      <c r="B51" s="2" t="s">
        <v>47</v>
      </c>
      <c r="C51" s="3">
        <v>46</v>
      </c>
      <c r="D51" s="3"/>
      <c r="E51" s="3">
        <v>1</v>
      </c>
      <c r="F51" s="3">
        <f t="shared" si="0"/>
        <v>45</v>
      </c>
      <c r="G51" s="3">
        <v>45</v>
      </c>
      <c r="H51" s="3">
        <v>0</v>
      </c>
      <c r="I51" s="21">
        <f>H51/-1027*337</f>
        <v>0</v>
      </c>
    </row>
    <row r="52" spans="1:9" ht="13.5">
      <c r="A52" s="1">
        <v>3</v>
      </c>
      <c r="B52" s="2" t="s">
        <v>48</v>
      </c>
      <c r="C52" s="3">
        <v>121</v>
      </c>
      <c r="D52" s="3"/>
      <c r="E52" s="3"/>
      <c r="F52" s="3">
        <f t="shared" si="0"/>
        <v>121</v>
      </c>
      <c r="G52" s="3">
        <v>121</v>
      </c>
      <c r="H52" s="3">
        <v>0</v>
      </c>
      <c r="I52" s="21">
        <f aca="true" t="shared" si="6" ref="I52:I65">H52/-1027*337</f>
        <v>0</v>
      </c>
    </row>
    <row r="53" spans="1:9" ht="13.5">
      <c r="A53" s="1">
        <v>4</v>
      </c>
      <c r="B53" s="2" t="s">
        <v>49</v>
      </c>
      <c r="C53" s="3">
        <v>176</v>
      </c>
      <c r="D53" s="3">
        <v>3</v>
      </c>
      <c r="E53" s="3">
        <v>1</v>
      </c>
      <c r="F53" s="3">
        <f t="shared" si="0"/>
        <v>172</v>
      </c>
      <c r="G53" s="3">
        <v>172</v>
      </c>
      <c r="H53" s="3">
        <v>0</v>
      </c>
      <c r="I53" s="21">
        <f t="shared" si="6"/>
        <v>0</v>
      </c>
    </row>
    <row r="54" spans="1:9" ht="13.5">
      <c r="A54" s="1">
        <v>5</v>
      </c>
      <c r="B54" s="2" t="s">
        <v>50</v>
      </c>
      <c r="C54" s="3">
        <v>7</v>
      </c>
      <c r="D54" s="3"/>
      <c r="E54" s="3"/>
      <c r="F54" s="3">
        <f t="shared" si="0"/>
        <v>7</v>
      </c>
      <c r="G54" s="3">
        <v>142</v>
      </c>
      <c r="H54" s="3">
        <f t="shared" si="5"/>
        <v>-135</v>
      </c>
      <c r="I54" s="21">
        <f t="shared" si="6"/>
        <v>44.29892891918209</v>
      </c>
    </row>
    <row r="55" spans="1:9" ht="13.5">
      <c r="A55" s="1">
        <v>6</v>
      </c>
      <c r="B55" s="2" t="s">
        <v>51</v>
      </c>
      <c r="C55" s="3">
        <v>90</v>
      </c>
      <c r="D55" s="3"/>
      <c r="E55" s="3"/>
      <c r="F55" s="3">
        <f t="shared" si="0"/>
        <v>90</v>
      </c>
      <c r="G55" s="3">
        <v>90</v>
      </c>
      <c r="H55" s="3">
        <v>0</v>
      </c>
      <c r="I55" s="21">
        <f t="shared" si="6"/>
        <v>0</v>
      </c>
    </row>
    <row r="56" spans="1:9" ht="13.5">
      <c r="A56" s="1">
        <v>7</v>
      </c>
      <c r="B56" s="2" t="s">
        <v>52</v>
      </c>
      <c r="C56" s="3">
        <v>56</v>
      </c>
      <c r="D56" s="3"/>
      <c r="E56" s="3"/>
      <c r="F56" s="3">
        <f t="shared" si="0"/>
        <v>56</v>
      </c>
      <c r="G56" s="3">
        <v>56</v>
      </c>
      <c r="H56" s="3">
        <v>0</v>
      </c>
      <c r="I56" s="21">
        <f t="shared" si="6"/>
        <v>0</v>
      </c>
    </row>
    <row r="57" spans="1:9" ht="13.5">
      <c r="A57" s="1">
        <v>8</v>
      </c>
      <c r="B57" s="2" t="s">
        <v>53</v>
      </c>
      <c r="C57" s="3">
        <v>50</v>
      </c>
      <c r="D57" s="3"/>
      <c r="E57" s="3">
        <v>1</v>
      </c>
      <c r="F57" s="3">
        <f t="shared" si="0"/>
        <v>49</v>
      </c>
      <c r="G57" s="3">
        <v>51</v>
      </c>
      <c r="H57" s="3">
        <f t="shared" si="5"/>
        <v>-2</v>
      </c>
      <c r="I57" s="21">
        <f t="shared" si="6"/>
        <v>0.6562804284323271</v>
      </c>
    </row>
    <row r="58" spans="1:9" ht="13.5">
      <c r="A58" s="1">
        <v>9</v>
      </c>
      <c r="B58" s="2" t="s">
        <v>54</v>
      </c>
      <c r="C58" s="3"/>
      <c r="D58" s="3"/>
      <c r="E58" s="3"/>
      <c r="F58" s="3">
        <f t="shared" si="0"/>
        <v>0</v>
      </c>
      <c r="G58" s="3">
        <v>0</v>
      </c>
      <c r="H58" s="3">
        <f t="shared" si="5"/>
        <v>0</v>
      </c>
      <c r="I58" s="21">
        <f t="shared" si="6"/>
        <v>0</v>
      </c>
    </row>
    <row r="59" spans="1:9" ht="13.5">
      <c r="A59" s="1">
        <v>10</v>
      </c>
      <c r="B59" s="2" t="s">
        <v>55</v>
      </c>
      <c r="C59" s="3">
        <v>877</v>
      </c>
      <c r="D59" s="3">
        <v>7</v>
      </c>
      <c r="E59" s="3">
        <v>22</v>
      </c>
      <c r="F59" s="3">
        <f t="shared" si="0"/>
        <v>848</v>
      </c>
      <c r="G59" s="3">
        <v>1555</v>
      </c>
      <c r="H59" s="3">
        <f t="shared" si="5"/>
        <v>-707</v>
      </c>
      <c r="I59" s="21">
        <f t="shared" si="6"/>
        <v>231.99513145082767</v>
      </c>
    </row>
    <row r="60" spans="1:9" ht="13.5">
      <c r="A60" s="1">
        <v>11</v>
      </c>
      <c r="B60" s="2" t="s">
        <v>56</v>
      </c>
      <c r="C60" s="3">
        <v>129</v>
      </c>
      <c r="D60" s="3">
        <v>1</v>
      </c>
      <c r="E60" s="3">
        <v>2</v>
      </c>
      <c r="F60" s="3">
        <f t="shared" si="0"/>
        <v>126</v>
      </c>
      <c r="G60" s="3">
        <v>149</v>
      </c>
      <c r="H60" s="3">
        <f t="shared" si="5"/>
        <v>-23</v>
      </c>
      <c r="I60" s="21">
        <f t="shared" si="6"/>
        <v>7.547224926971762</v>
      </c>
    </row>
    <row r="61" spans="1:9" ht="13.5">
      <c r="A61" s="1">
        <v>12</v>
      </c>
      <c r="B61" s="2" t="s">
        <v>57</v>
      </c>
      <c r="C61" s="3">
        <v>90</v>
      </c>
      <c r="D61" s="3"/>
      <c r="E61" s="3">
        <v>1</v>
      </c>
      <c r="F61" s="3">
        <f t="shared" si="0"/>
        <v>89</v>
      </c>
      <c r="G61" s="3">
        <v>125</v>
      </c>
      <c r="H61" s="3">
        <f t="shared" si="5"/>
        <v>-36</v>
      </c>
      <c r="I61" s="21">
        <f t="shared" si="6"/>
        <v>11.81304771178189</v>
      </c>
    </row>
    <row r="62" spans="1:9" ht="13.5">
      <c r="A62" s="1">
        <v>13</v>
      </c>
      <c r="B62" s="2" t="s">
        <v>58</v>
      </c>
      <c r="C62" s="3">
        <v>58</v>
      </c>
      <c r="D62" s="3">
        <v>1</v>
      </c>
      <c r="E62" s="3"/>
      <c r="F62" s="3">
        <f t="shared" si="0"/>
        <v>57</v>
      </c>
      <c r="G62" s="3">
        <v>178</v>
      </c>
      <c r="H62" s="3">
        <f t="shared" si="5"/>
        <v>-121</v>
      </c>
      <c r="I62" s="21">
        <f t="shared" si="6"/>
        <v>39.70496592015579</v>
      </c>
    </row>
    <row r="63" spans="1:9" ht="13.5">
      <c r="A63" s="1">
        <v>14</v>
      </c>
      <c r="B63" s="2" t="s">
        <v>59</v>
      </c>
      <c r="C63" s="3">
        <v>292</v>
      </c>
      <c r="D63" s="3">
        <v>3</v>
      </c>
      <c r="E63" s="3">
        <v>9</v>
      </c>
      <c r="F63" s="3">
        <f t="shared" si="0"/>
        <v>280</v>
      </c>
      <c r="G63" s="3">
        <v>280</v>
      </c>
      <c r="H63" s="3">
        <v>0</v>
      </c>
      <c r="I63" s="21">
        <f t="shared" si="6"/>
        <v>0</v>
      </c>
    </row>
    <row r="64" spans="1:9" ht="13.5">
      <c r="A64" s="1">
        <v>15</v>
      </c>
      <c r="B64" s="2" t="s">
        <v>60</v>
      </c>
      <c r="C64" s="3">
        <v>253</v>
      </c>
      <c r="D64" s="3">
        <v>1</v>
      </c>
      <c r="E64" s="3">
        <v>4</v>
      </c>
      <c r="F64" s="3">
        <f t="shared" si="0"/>
        <v>248</v>
      </c>
      <c r="G64" s="3">
        <v>250</v>
      </c>
      <c r="H64" s="3">
        <f t="shared" si="5"/>
        <v>-2</v>
      </c>
      <c r="I64" s="21">
        <f t="shared" si="6"/>
        <v>0.6562804284323271</v>
      </c>
    </row>
    <row r="65" spans="1:9" ht="13.5">
      <c r="A65" s="1">
        <v>16</v>
      </c>
      <c r="B65" s="2" t="s">
        <v>61</v>
      </c>
      <c r="C65" s="3">
        <v>143</v>
      </c>
      <c r="D65" s="3"/>
      <c r="E65" s="3">
        <v>2</v>
      </c>
      <c r="F65" s="3">
        <f t="shared" si="0"/>
        <v>141</v>
      </c>
      <c r="G65" s="3">
        <v>141</v>
      </c>
      <c r="H65" s="3">
        <f t="shared" si="5"/>
        <v>0</v>
      </c>
      <c r="I65" s="21">
        <f t="shared" si="6"/>
        <v>0</v>
      </c>
    </row>
    <row r="66" spans="1:9" ht="13.5">
      <c r="A66" s="14" t="s">
        <v>451</v>
      </c>
      <c r="B66" s="15" t="s">
        <v>62</v>
      </c>
      <c r="C66" s="16">
        <f>SUM(C67:C77)</f>
        <v>826</v>
      </c>
      <c r="D66" s="16">
        <f>SUM(D67:D77)</f>
        <v>1</v>
      </c>
      <c r="E66" s="16">
        <f>SUM(E67:E77)</f>
        <v>5</v>
      </c>
      <c r="F66" s="16">
        <f t="shared" si="0"/>
        <v>820</v>
      </c>
      <c r="G66" s="16">
        <f>SUM(G67:G77)</f>
        <v>994</v>
      </c>
      <c r="H66" s="16">
        <f>SUM(H67:H77)</f>
        <v>-174</v>
      </c>
      <c r="I66" s="23">
        <f>H66/-11502*3774</f>
        <v>57.09233176838811</v>
      </c>
    </row>
    <row r="67" spans="1:9" ht="13.5">
      <c r="A67" s="1">
        <v>1</v>
      </c>
      <c r="B67" s="2" t="s">
        <v>63</v>
      </c>
      <c r="C67" s="3">
        <v>66</v>
      </c>
      <c r="D67" s="3"/>
      <c r="E67" s="3">
        <v>1</v>
      </c>
      <c r="F67" s="3">
        <f t="shared" si="0"/>
        <v>65</v>
      </c>
      <c r="G67" s="3">
        <v>195</v>
      </c>
      <c r="H67" s="3">
        <f aca="true" t="shared" si="7" ref="H67:H75">F67-G67</f>
        <v>-130</v>
      </c>
      <c r="I67" s="21">
        <f>H67/-174*57</f>
        <v>42.58620689655172</v>
      </c>
    </row>
    <row r="68" spans="1:9" ht="13.5">
      <c r="A68" s="1">
        <v>2</v>
      </c>
      <c r="B68" s="2" t="s">
        <v>64</v>
      </c>
      <c r="C68" s="3">
        <v>56</v>
      </c>
      <c r="D68" s="3"/>
      <c r="E68" s="3"/>
      <c r="F68" s="3">
        <f t="shared" si="0"/>
        <v>56</v>
      </c>
      <c r="G68" s="3">
        <v>69</v>
      </c>
      <c r="H68" s="3">
        <f t="shared" si="7"/>
        <v>-13</v>
      </c>
      <c r="I68" s="21">
        <f aca="true" t="shared" si="8" ref="I68:I77">H68/-174*57</f>
        <v>4.258620689655173</v>
      </c>
    </row>
    <row r="69" spans="1:9" ht="13.5">
      <c r="A69" s="1">
        <v>3</v>
      </c>
      <c r="B69" s="2" t="s">
        <v>65</v>
      </c>
      <c r="C69" s="3">
        <v>58</v>
      </c>
      <c r="D69" s="3"/>
      <c r="E69" s="3"/>
      <c r="F69" s="3">
        <f t="shared" si="0"/>
        <v>58</v>
      </c>
      <c r="G69" s="3">
        <v>58</v>
      </c>
      <c r="H69" s="3">
        <v>0</v>
      </c>
      <c r="I69" s="21">
        <f t="shared" si="8"/>
        <v>0</v>
      </c>
    </row>
    <row r="70" spans="1:9" ht="13.5">
      <c r="A70" s="1">
        <v>4</v>
      </c>
      <c r="B70" s="2" t="s">
        <v>66</v>
      </c>
      <c r="C70" s="3">
        <v>59</v>
      </c>
      <c r="D70" s="3"/>
      <c r="E70" s="3"/>
      <c r="F70" s="3">
        <f t="shared" si="0"/>
        <v>59</v>
      </c>
      <c r="G70" s="3">
        <v>59</v>
      </c>
      <c r="H70" s="3">
        <v>0</v>
      </c>
      <c r="I70" s="21">
        <f t="shared" si="8"/>
        <v>0</v>
      </c>
    </row>
    <row r="71" spans="1:9" ht="13.5">
      <c r="A71" s="1">
        <v>5</v>
      </c>
      <c r="B71" s="2" t="s">
        <v>67</v>
      </c>
      <c r="C71" s="3">
        <v>4</v>
      </c>
      <c r="D71" s="3"/>
      <c r="E71" s="3"/>
      <c r="F71" s="3">
        <f t="shared" si="0"/>
        <v>4</v>
      </c>
      <c r="G71" s="3">
        <v>4</v>
      </c>
      <c r="H71" s="3">
        <f t="shared" si="7"/>
        <v>0</v>
      </c>
      <c r="I71" s="21">
        <f t="shared" si="8"/>
        <v>0</v>
      </c>
    </row>
    <row r="72" spans="1:9" ht="13.5">
      <c r="A72" s="1">
        <v>6</v>
      </c>
      <c r="B72" s="2" t="s">
        <v>68</v>
      </c>
      <c r="C72" s="3">
        <v>3</v>
      </c>
      <c r="D72" s="3"/>
      <c r="E72" s="3"/>
      <c r="F72" s="3">
        <f aca="true" t="shared" si="9" ref="F72:F135">C72-E72-D72</f>
        <v>3</v>
      </c>
      <c r="G72" s="3">
        <v>3</v>
      </c>
      <c r="H72" s="3">
        <f t="shared" si="7"/>
        <v>0</v>
      </c>
      <c r="I72" s="21">
        <f t="shared" si="8"/>
        <v>0</v>
      </c>
    </row>
    <row r="73" spans="1:9" ht="13.5">
      <c r="A73" s="1">
        <v>7</v>
      </c>
      <c r="B73" s="2" t="s">
        <v>69</v>
      </c>
      <c r="C73" s="3"/>
      <c r="D73" s="3"/>
      <c r="E73" s="3"/>
      <c r="F73" s="3">
        <f t="shared" si="9"/>
        <v>0</v>
      </c>
      <c r="G73" s="3">
        <v>0</v>
      </c>
      <c r="H73" s="3">
        <f t="shared" si="7"/>
        <v>0</v>
      </c>
      <c r="I73" s="21">
        <f t="shared" si="8"/>
        <v>0</v>
      </c>
    </row>
    <row r="74" spans="1:9" ht="13.5">
      <c r="A74" s="1">
        <v>8</v>
      </c>
      <c r="B74" s="2" t="s">
        <v>70</v>
      </c>
      <c r="C74" s="3">
        <v>2</v>
      </c>
      <c r="D74" s="3"/>
      <c r="E74" s="3"/>
      <c r="F74" s="3">
        <f t="shared" si="9"/>
        <v>2</v>
      </c>
      <c r="G74" s="3">
        <v>2</v>
      </c>
      <c r="H74" s="3">
        <f t="shared" si="7"/>
        <v>0</v>
      </c>
      <c r="I74" s="21">
        <f t="shared" si="8"/>
        <v>0</v>
      </c>
    </row>
    <row r="75" spans="1:9" ht="13.5">
      <c r="A75" s="1">
        <v>9</v>
      </c>
      <c r="B75" s="2" t="s">
        <v>71</v>
      </c>
      <c r="C75" s="3">
        <v>96</v>
      </c>
      <c r="D75" s="3"/>
      <c r="E75" s="3"/>
      <c r="F75" s="3">
        <f t="shared" si="9"/>
        <v>96</v>
      </c>
      <c r="G75" s="3">
        <v>127</v>
      </c>
      <c r="H75" s="3">
        <f t="shared" si="7"/>
        <v>-31</v>
      </c>
      <c r="I75" s="21">
        <f t="shared" si="8"/>
        <v>10.155172413793103</v>
      </c>
    </row>
    <row r="76" spans="1:9" ht="13.5">
      <c r="A76" s="1">
        <v>10</v>
      </c>
      <c r="B76" s="2" t="s">
        <v>72</v>
      </c>
      <c r="C76" s="3">
        <v>379</v>
      </c>
      <c r="D76" s="3">
        <v>1</v>
      </c>
      <c r="E76" s="3">
        <v>4</v>
      </c>
      <c r="F76" s="3">
        <f t="shared" si="9"/>
        <v>374</v>
      </c>
      <c r="G76" s="3">
        <v>374</v>
      </c>
      <c r="H76" s="3">
        <v>0</v>
      </c>
      <c r="I76" s="21">
        <f t="shared" si="8"/>
        <v>0</v>
      </c>
    </row>
    <row r="77" spans="1:9" ht="13.5">
      <c r="A77" s="1">
        <v>11</v>
      </c>
      <c r="B77" s="2" t="s">
        <v>73</v>
      </c>
      <c r="C77" s="3">
        <v>103</v>
      </c>
      <c r="D77" s="3"/>
      <c r="E77" s="3"/>
      <c r="F77" s="3">
        <f t="shared" si="9"/>
        <v>103</v>
      </c>
      <c r="G77" s="3">
        <v>103</v>
      </c>
      <c r="H77" s="3">
        <v>0</v>
      </c>
      <c r="I77" s="21">
        <f t="shared" si="8"/>
        <v>0</v>
      </c>
    </row>
    <row r="78" spans="1:9" ht="13.5">
      <c r="A78" s="14" t="s">
        <v>452</v>
      </c>
      <c r="B78" s="15" t="s">
        <v>74</v>
      </c>
      <c r="C78" s="16">
        <f>SUM(C79:C88)</f>
        <v>659</v>
      </c>
      <c r="D78" s="16">
        <f>SUM(D79:D88)</f>
        <v>3</v>
      </c>
      <c r="E78" s="16">
        <f>SUM(E79:E88)</f>
        <v>5</v>
      </c>
      <c r="F78" s="16">
        <f t="shared" si="9"/>
        <v>651</v>
      </c>
      <c r="G78" s="16">
        <f>SUM(G79:G88)</f>
        <v>835</v>
      </c>
      <c r="H78" s="16">
        <f>SUM(H79:H88)</f>
        <v>-184</v>
      </c>
      <c r="I78" s="23">
        <f>H78/-11502*3774</f>
        <v>60.3735002608242</v>
      </c>
    </row>
    <row r="79" spans="1:9" ht="13.5">
      <c r="A79" s="1">
        <v>1</v>
      </c>
      <c r="B79" s="2" t="s">
        <v>75</v>
      </c>
      <c r="C79" s="3">
        <v>187</v>
      </c>
      <c r="D79" s="3">
        <v>1</v>
      </c>
      <c r="E79" s="3"/>
      <c r="F79" s="3">
        <f t="shared" si="9"/>
        <v>186</v>
      </c>
      <c r="G79" s="3">
        <v>206</v>
      </c>
      <c r="H79" s="3">
        <f aca="true" t="shared" si="10" ref="H79:H87">F79-G79</f>
        <v>-20</v>
      </c>
      <c r="I79" s="21">
        <f>H79/-184*60</f>
        <v>6.521739130434782</v>
      </c>
    </row>
    <row r="80" spans="1:9" ht="13.5">
      <c r="A80" s="1">
        <v>2</v>
      </c>
      <c r="B80" s="2" t="s">
        <v>76</v>
      </c>
      <c r="C80" s="3">
        <v>64</v>
      </c>
      <c r="D80" s="3"/>
      <c r="E80" s="3"/>
      <c r="F80" s="3">
        <f t="shared" si="9"/>
        <v>64</v>
      </c>
      <c r="G80" s="3">
        <v>86</v>
      </c>
      <c r="H80" s="3">
        <f t="shared" si="10"/>
        <v>-22</v>
      </c>
      <c r="I80" s="21">
        <f aca="true" t="shared" si="11" ref="I80:I88">H80/-184*60</f>
        <v>7.173913043478261</v>
      </c>
    </row>
    <row r="81" spans="1:9" ht="13.5">
      <c r="A81" s="1">
        <v>3</v>
      </c>
      <c r="B81" s="2" t="s">
        <v>77</v>
      </c>
      <c r="C81" s="3">
        <v>4</v>
      </c>
      <c r="D81" s="3"/>
      <c r="E81" s="3"/>
      <c r="F81" s="3">
        <f t="shared" si="9"/>
        <v>4</v>
      </c>
      <c r="G81" s="3">
        <v>80</v>
      </c>
      <c r="H81" s="3">
        <f t="shared" si="10"/>
        <v>-76</v>
      </c>
      <c r="I81" s="21">
        <f t="shared" si="11"/>
        <v>24.782608695652176</v>
      </c>
    </row>
    <row r="82" spans="1:9" ht="13.5">
      <c r="A82" s="1">
        <v>4</v>
      </c>
      <c r="B82" s="2" t="s">
        <v>78</v>
      </c>
      <c r="C82" s="3">
        <v>44</v>
      </c>
      <c r="D82" s="3"/>
      <c r="E82" s="3"/>
      <c r="F82" s="3">
        <f t="shared" si="9"/>
        <v>44</v>
      </c>
      <c r="G82" s="3">
        <v>62</v>
      </c>
      <c r="H82" s="3">
        <f t="shared" si="10"/>
        <v>-18</v>
      </c>
      <c r="I82" s="21">
        <f t="shared" si="11"/>
        <v>5.869565217391305</v>
      </c>
    </row>
    <row r="83" spans="1:9" ht="13.5">
      <c r="A83" s="1">
        <v>5</v>
      </c>
      <c r="B83" s="2" t="s">
        <v>79</v>
      </c>
      <c r="C83" s="3"/>
      <c r="D83" s="3"/>
      <c r="E83" s="3"/>
      <c r="F83" s="3">
        <f t="shared" si="9"/>
        <v>0</v>
      </c>
      <c r="G83" s="3">
        <v>0</v>
      </c>
      <c r="H83" s="3">
        <f t="shared" si="10"/>
        <v>0</v>
      </c>
      <c r="I83" s="21">
        <f t="shared" si="11"/>
        <v>0</v>
      </c>
    </row>
    <row r="84" spans="1:9" ht="13.5">
      <c r="A84" s="1">
        <v>6</v>
      </c>
      <c r="B84" s="2" t="s">
        <v>80</v>
      </c>
      <c r="C84" s="3">
        <v>50</v>
      </c>
      <c r="D84" s="3"/>
      <c r="E84" s="3">
        <v>1</v>
      </c>
      <c r="F84" s="3">
        <f t="shared" si="9"/>
        <v>49</v>
      </c>
      <c r="G84" s="3">
        <v>49</v>
      </c>
      <c r="H84" s="3">
        <v>0</v>
      </c>
      <c r="I84" s="21">
        <f t="shared" si="11"/>
        <v>0</v>
      </c>
    </row>
    <row r="85" spans="1:9" ht="13.5">
      <c r="A85" s="1">
        <v>7</v>
      </c>
      <c r="B85" s="2" t="s">
        <v>81</v>
      </c>
      <c r="C85" s="3">
        <v>21</v>
      </c>
      <c r="D85" s="3"/>
      <c r="E85" s="3"/>
      <c r="F85" s="3">
        <f t="shared" si="9"/>
        <v>21</v>
      </c>
      <c r="G85" s="3">
        <v>69</v>
      </c>
      <c r="H85" s="3">
        <f t="shared" si="10"/>
        <v>-48</v>
      </c>
      <c r="I85" s="21">
        <f t="shared" si="11"/>
        <v>15.652173913043478</v>
      </c>
    </row>
    <row r="86" spans="1:9" ht="13.5">
      <c r="A86" s="1">
        <v>8</v>
      </c>
      <c r="B86" s="2" t="s">
        <v>82</v>
      </c>
      <c r="C86" s="3">
        <v>1</v>
      </c>
      <c r="D86" s="3"/>
      <c r="E86" s="3"/>
      <c r="F86" s="3">
        <f t="shared" si="9"/>
        <v>1</v>
      </c>
      <c r="G86" s="3">
        <v>1</v>
      </c>
      <c r="H86" s="3">
        <f t="shared" si="10"/>
        <v>0</v>
      </c>
      <c r="I86" s="21">
        <f t="shared" si="11"/>
        <v>0</v>
      </c>
    </row>
    <row r="87" spans="1:9" ht="13.5">
      <c r="A87" s="1">
        <v>9</v>
      </c>
      <c r="B87" s="2" t="s">
        <v>83</v>
      </c>
      <c r="C87" s="3"/>
      <c r="D87" s="3"/>
      <c r="E87" s="3"/>
      <c r="F87" s="3">
        <f t="shared" si="9"/>
        <v>0</v>
      </c>
      <c r="G87" s="3">
        <v>0</v>
      </c>
      <c r="H87" s="3">
        <f t="shared" si="10"/>
        <v>0</v>
      </c>
      <c r="I87" s="21">
        <f t="shared" si="11"/>
        <v>0</v>
      </c>
    </row>
    <row r="88" spans="1:9" ht="13.5">
      <c r="A88" s="1">
        <v>10</v>
      </c>
      <c r="B88" s="2" t="s">
        <v>84</v>
      </c>
      <c r="C88" s="3">
        <v>288</v>
      </c>
      <c r="D88" s="3">
        <v>2</v>
      </c>
      <c r="E88" s="3">
        <v>4</v>
      </c>
      <c r="F88" s="3">
        <f t="shared" si="9"/>
        <v>282</v>
      </c>
      <c r="G88" s="3">
        <v>282</v>
      </c>
      <c r="H88" s="3">
        <v>0</v>
      </c>
      <c r="I88" s="21">
        <f t="shared" si="11"/>
        <v>0</v>
      </c>
    </row>
    <row r="89" spans="1:9" ht="13.5">
      <c r="A89" s="14" t="s">
        <v>453</v>
      </c>
      <c r="B89" s="15" t="s">
        <v>85</v>
      </c>
      <c r="C89" s="16">
        <f>SUM(C90:C100)</f>
        <v>1110</v>
      </c>
      <c r="D89" s="16">
        <f>SUM(D90:D100)</f>
        <v>6</v>
      </c>
      <c r="E89" s="16">
        <f>SUM(E90:E100)</f>
        <v>9</v>
      </c>
      <c r="F89" s="16">
        <f t="shared" si="9"/>
        <v>1095</v>
      </c>
      <c r="G89" s="16">
        <f>SUM(G90:G100)</f>
        <v>1301</v>
      </c>
      <c r="H89" s="16">
        <f>SUM(H90:H100)</f>
        <v>-206</v>
      </c>
      <c r="I89" s="23">
        <f>H89/-11502*3774</f>
        <v>67.59207094418362</v>
      </c>
    </row>
    <row r="90" spans="1:9" ht="13.5">
      <c r="A90" s="1">
        <v>1</v>
      </c>
      <c r="B90" s="2" t="s">
        <v>86</v>
      </c>
      <c r="C90" s="3">
        <v>122</v>
      </c>
      <c r="D90" s="3"/>
      <c r="E90" s="3">
        <v>1</v>
      </c>
      <c r="F90" s="3">
        <f t="shared" si="9"/>
        <v>121</v>
      </c>
      <c r="G90" s="3">
        <v>121</v>
      </c>
      <c r="H90" s="3">
        <v>0</v>
      </c>
      <c r="I90" s="21">
        <f>H90/-206*68</f>
        <v>0</v>
      </c>
    </row>
    <row r="91" spans="1:9" ht="13.5">
      <c r="A91" s="1">
        <v>2</v>
      </c>
      <c r="B91" s="2" t="s">
        <v>87</v>
      </c>
      <c r="C91" s="3">
        <v>61</v>
      </c>
      <c r="D91" s="3"/>
      <c r="E91" s="3"/>
      <c r="F91" s="3">
        <f t="shared" si="9"/>
        <v>61</v>
      </c>
      <c r="G91" s="3">
        <v>136</v>
      </c>
      <c r="H91" s="3">
        <f aca="true" t="shared" si="12" ref="H91:H100">F91-G91</f>
        <v>-75</v>
      </c>
      <c r="I91" s="21">
        <f aca="true" t="shared" si="13" ref="I91:I100">H91/-206*68</f>
        <v>24.75728155339806</v>
      </c>
    </row>
    <row r="92" spans="1:9" ht="13.5">
      <c r="A92" s="1">
        <v>3</v>
      </c>
      <c r="B92" s="2" t="s">
        <v>88</v>
      </c>
      <c r="C92" s="3">
        <v>117</v>
      </c>
      <c r="D92" s="3"/>
      <c r="E92" s="3"/>
      <c r="F92" s="3">
        <f t="shared" si="9"/>
        <v>117</v>
      </c>
      <c r="G92" s="3">
        <v>117</v>
      </c>
      <c r="H92" s="3">
        <v>0</v>
      </c>
      <c r="I92" s="21">
        <f t="shared" si="13"/>
        <v>0</v>
      </c>
    </row>
    <row r="93" spans="1:9" ht="13.5">
      <c r="A93" s="1">
        <v>4</v>
      </c>
      <c r="B93" s="2" t="s">
        <v>89</v>
      </c>
      <c r="C93" s="3">
        <v>117</v>
      </c>
      <c r="D93" s="3">
        <v>2</v>
      </c>
      <c r="E93" s="3"/>
      <c r="F93" s="3">
        <f t="shared" si="9"/>
        <v>115</v>
      </c>
      <c r="G93" s="3">
        <v>171</v>
      </c>
      <c r="H93" s="3">
        <f t="shared" si="12"/>
        <v>-56</v>
      </c>
      <c r="I93" s="21">
        <f t="shared" si="13"/>
        <v>18.485436893203882</v>
      </c>
    </row>
    <row r="94" spans="1:9" ht="13.5">
      <c r="A94" s="1">
        <v>5</v>
      </c>
      <c r="B94" s="2" t="s">
        <v>90</v>
      </c>
      <c r="C94" s="3"/>
      <c r="D94" s="3"/>
      <c r="E94" s="3"/>
      <c r="F94" s="3">
        <f t="shared" si="9"/>
        <v>0</v>
      </c>
      <c r="G94" s="3">
        <v>0</v>
      </c>
      <c r="H94" s="3">
        <f t="shared" si="12"/>
        <v>0</v>
      </c>
      <c r="I94" s="21">
        <f t="shared" si="13"/>
        <v>0</v>
      </c>
    </row>
    <row r="95" spans="1:9" ht="13.5">
      <c r="A95" s="1">
        <v>6</v>
      </c>
      <c r="B95" s="2" t="s">
        <v>91</v>
      </c>
      <c r="C95" s="3">
        <v>41</v>
      </c>
      <c r="D95" s="3"/>
      <c r="E95" s="3"/>
      <c r="F95" s="3">
        <f t="shared" si="9"/>
        <v>41</v>
      </c>
      <c r="G95" s="3">
        <v>49</v>
      </c>
      <c r="H95" s="3">
        <f t="shared" si="12"/>
        <v>-8</v>
      </c>
      <c r="I95" s="21">
        <f t="shared" si="13"/>
        <v>2.640776699029126</v>
      </c>
    </row>
    <row r="96" spans="1:9" ht="13.5">
      <c r="A96" s="1">
        <v>7</v>
      </c>
      <c r="B96" s="2" t="s">
        <v>92</v>
      </c>
      <c r="C96" s="3">
        <v>1</v>
      </c>
      <c r="D96" s="3"/>
      <c r="E96" s="3"/>
      <c r="F96" s="3">
        <f t="shared" si="9"/>
        <v>1</v>
      </c>
      <c r="G96" s="3">
        <v>1</v>
      </c>
      <c r="H96" s="3">
        <f t="shared" si="12"/>
        <v>0</v>
      </c>
      <c r="I96" s="21">
        <f t="shared" si="13"/>
        <v>0</v>
      </c>
    </row>
    <row r="97" spans="1:9" ht="13.5">
      <c r="A97" s="1">
        <v>8</v>
      </c>
      <c r="B97" s="2" t="s">
        <v>93</v>
      </c>
      <c r="C97" s="3">
        <v>535</v>
      </c>
      <c r="D97" s="3">
        <v>4</v>
      </c>
      <c r="E97" s="3">
        <v>7</v>
      </c>
      <c r="F97" s="3">
        <f t="shared" si="9"/>
        <v>524</v>
      </c>
      <c r="G97" s="3">
        <v>591</v>
      </c>
      <c r="H97" s="3">
        <f t="shared" si="12"/>
        <v>-67</v>
      </c>
      <c r="I97" s="21">
        <f t="shared" si="13"/>
        <v>22.116504854368934</v>
      </c>
    </row>
    <row r="98" spans="1:9" ht="13.5">
      <c r="A98" s="1">
        <v>9</v>
      </c>
      <c r="B98" s="2" t="s">
        <v>94</v>
      </c>
      <c r="C98" s="3"/>
      <c r="D98" s="3"/>
      <c r="E98" s="3"/>
      <c r="F98" s="3">
        <f t="shared" si="9"/>
        <v>0</v>
      </c>
      <c r="G98" s="3"/>
      <c r="H98" s="3">
        <f t="shared" si="12"/>
        <v>0</v>
      </c>
      <c r="I98" s="21">
        <f t="shared" si="13"/>
        <v>0</v>
      </c>
    </row>
    <row r="99" spans="1:9" ht="13.5">
      <c r="A99" s="1">
        <v>10</v>
      </c>
      <c r="B99" s="2" t="s">
        <v>95</v>
      </c>
      <c r="C99" s="3">
        <v>111</v>
      </c>
      <c r="D99" s="3"/>
      <c r="E99" s="3">
        <v>1</v>
      </c>
      <c r="F99" s="3">
        <f t="shared" si="9"/>
        <v>110</v>
      </c>
      <c r="G99" s="3">
        <v>110</v>
      </c>
      <c r="H99" s="3">
        <f t="shared" si="12"/>
        <v>0</v>
      </c>
      <c r="I99" s="21">
        <f t="shared" si="13"/>
        <v>0</v>
      </c>
    </row>
    <row r="100" spans="1:9" ht="13.5">
      <c r="A100" s="1">
        <v>11</v>
      </c>
      <c r="B100" s="2" t="s">
        <v>96</v>
      </c>
      <c r="C100" s="3">
        <v>5</v>
      </c>
      <c r="D100" s="3"/>
      <c r="E100" s="3"/>
      <c r="F100" s="3">
        <f t="shared" si="9"/>
        <v>5</v>
      </c>
      <c r="G100" s="3">
        <v>5</v>
      </c>
      <c r="H100" s="3">
        <f t="shared" si="12"/>
        <v>0</v>
      </c>
      <c r="I100" s="21">
        <f t="shared" si="13"/>
        <v>0</v>
      </c>
    </row>
    <row r="101" spans="1:9" ht="13.5">
      <c r="A101" s="14" t="s">
        <v>454</v>
      </c>
      <c r="B101" s="15" t="s">
        <v>97</v>
      </c>
      <c r="C101" s="16">
        <f>SUM(C102:C108)</f>
        <v>508</v>
      </c>
      <c r="D101" s="16">
        <f>SUM(D102:D108)</f>
        <v>1</v>
      </c>
      <c r="E101" s="16">
        <f>SUM(E102:E108)</f>
        <v>3</v>
      </c>
      <c r="F101" s="16">
        <f t="shared" si="9"/>
        <v>504</v>
      </c>
      <c r="G101" s="16">
        <f>SUM(G102:G108)</f>
        <v>582</v>
      </c>
      <c r="H101" s="16">
        <f>SUM(H102:H108)</f>
        <v>-78</v>
      </c>
      <c r="I101" s="23">
        <f>H101/-11502*3774</f>
        <v>25.59311424100156</v>
      </c>
    </row>
    <row r="102" spans="1:9" ht="13.5">
      <c r="A102" s="1">
        <v>1</v>
      </c>
      <c r="B102" s="2" t="s">
        <v>98</v>
      </c>
      <c r="C102" s="3">
        <v>51</v>
      </c>
      <c r="D102" s="3"/>
      <c r="E102" s="3">
        <v>1</v>
      </c>
      <c r="F102" s="3">
        <f t="shared" si="9"/>
        <v>50</v>
      </c>
      <c r="G102" s="3">
        <v>51</v>
      </c>
      <c r="H102" s="3">
        <f aca="true" t="shared" si="14" ref="H102:H108">F102-G102</f>
        <v>-1</v>
      </c>
      <c r="I102" s="21">
        <v>0</v>
      </c>
    </row>
    <row r="103" spans="1:9" ht="13.5">
      <c r="A103" s="1">
        <v>2</v>
      </c>
      <c r="B103" s="2" t="s">
        <v>99</v>
      </c>
      <c r="C103" s="3">
        <v>95</v>
      </c>
      <c r="D103" s="3"/>
      <c r="E103" s="3">
        <v>1</v>
      </c>
      <c r="F103" s="3">
        <f t="shared" si="9"/>
        <v>94</v>
      </c>
      <c r="G103" s="3">
        <v>136</v>
      </c>
      <c r="H103" s="3">
        <f t="shared" si="14"/>
        <v>-42</v>
      </c>
      <c r="I103" s="21">
        <f aca="true" t="shared" si="15" ref="I103:I108">H103/-78*26</f>
        <v>14</v>
      </c>
    </row>
    <row r="104" spans="1:9" ht="13.5">
      <c r="A104" s="1">
        <v>3</v>
      </c>
      <c r="B104" s="2" t="s">
        <v>100</v>
      </c>
      <c r="C104" s="3">
        <v>52</v>
      </c>
      <c r="D104" s="3"/>
      <c r="E104" s="3"/>
      <c r="F104" s="3">
        <f t="shared" si="9"/>
        <v>52</v>
      </c>
      <c r="G104" s="3">
        <v>72</v>
      </c>
      <c r="H104" s="3">
        <f t="shared" si="14"/>
        <v>-20</v>
      </c>
      <c r="I104" s="21">
        <f t="shared" si="15"/>
        <v>6.666666666666666</v>
      </c>
    </row>
    <row r="105" spans="1:9" ht="13.5">
      <c r="A105" s="1">
        <v>4</v>
      </c>
      <c r="B105" s="2" t="s">
        <v>101</v>
      </c>
      <c r="C105" s="3"/>
      <c r="D105" s="3"/>
      <c r="E105" s="3"/>
      <c r="F105" s="3"/>
      <c r="G105" s="3"/>
      <c r="H105" s="3">
        <f t="shared" si="14"/>
        <v>0</v>
      </c>
      <c r="I105" s="21">
        <f t="shared" si="15"/>
        <v>0</v>
      </c>
    </row>
    <row r="106" spans="1:9" ht="13.5">
      <c r="A106" s="1">
        <v>5</v>
      </c>
      <c r="B106" s="2" t="s">
        <v>102</v>
      </c>
      <c r="C106" s="3"/>
      <c r="D106" s="3"/>
      <c r="E106" s="3"/>
      <c r="F106" s="3">
        <f t="shared" si="9"/>
        <v>0</v>
      </c>
      <c r="G106" s="3"/>
      <c r="H106" s="3">
        <f t="shared" si="14"/>
        <v>0</v>
      </c>
      <c r="I106" s="21">
        <f t="shared" si="15"/>
        <v>0</v>
      </c>
    </row>
    <row r="107" spans="1:9" ht="13.5">
      <c r="A107" s="1">
        <v>6</v>
      </c>
      <c r="B107" s="2" t="s">
        <v>103</v>
      </c>
      <c r="C107" s="3"/>
      <c r="D107" s="3"/>
      <c r="E107" s="3"/>
      <c r="F107" s="3"/>
      <c r="G107" s="3"/>
      <c r="H107" s="3">
        <f t="shared" si="14"/>
        <v>0</v>
      </c>
      <c r="I107" s="21">
        <f t="shared" si="15"/>
        <v>0</v>
      </c>
    </row>
    <row r="108" spans="1:9" ht="13.5">
      <c r="A108" s="1">
        <v>7</v>
      </c>
      <c r="B108" s="2" t="s">
        <v>104</v>
      </c>
      <c r="C108" s="3">
        <v>310</v>
      </c>
      <c r="D108" s="3">
        <v>1</v>
      </c>
      <c r="E108" s="3">
        <v>1</v>
      </c>
      <c r="F108" s="3">
        <f t="shared" si="9"/>
        <v>308</v>
      </c>
      <c r="G108" s="3">
        <v>323</v>
      </c>
      <c r="H108" s="3">
        <f t="shared" si="14"/>
        <v>-15</v>
      </c>
      <c r="I108" s="21">
        <f t="shared" si="15"/>
        <v>5</v>
      </c>
    </row>
    <row r="109" spans="1:9" ht="13.5">
      <c r="A109" s="14" t="s">
        <v>455</v>
      </c>
      <c r="B109" s="15" t="s">
        <v>105</v>
      </c>
      <c r="C109" s="16">
        <f>SUM(C110:C119)</f>
        <v>1030</v>
      </c>
      <c r="D109" s="16">
        <f>SUM(D110:D119)</f>
        <v>2</v>
      </c>
      <c r="E109" s="16">
        <f>SUM(E110:E119)</f>
        <v>9</v>
      </c>
      <c r="F109" s="16">
        <f t="shared" si="9"/>
        <v>1019</v>
      </c>
      <c r="G109" s="16">
        <f>SUM(G110:G119)</f>
        <v>1311</v>
      </c>
      <c r="H109" s="16">
        <f>SUM(H110:H119)</f>
        <v>-292</v>
      </c>
      <c r="I109" s="23">
        <f>H109/-11502*3774</f>
        <v>95.81011997913406</v>
      </c>
    </row>
    <row r="110" spans="1:9" ht="13.5">
      <c r="A110" s="1">
        <v>1</v>
      </c>
      <c r="B110" s="2" t="s">
        <v>106</v>
      </c>
      <c r="C110" s="3">
        <v>85</v>
      </c>
      <c r="D110" s="3"/>
      <c r="E110" s="3"/>
      <c r="F110" s="3">
        <f t="shared" si="9"/>
        <v>85</v>
      </c>
      <c r="G110" s="3">
        <v>109</v>
      </c>
      <c r="H110" s="3">
        <f aca="true" t="shared" si="16" ref="H110:H118">F110-G110</f>
        <v>-24</v>
      </c>
      <c r="I110" s="21">
        <f>H110/-292*96</f>
        <v>7.890410958904109</v>
      </c>
    </row>
    <row r="111" spans="1:9" ht="13.5">
      <c r="A111" s="1">
        <v>2</v>
      </c>
      <c r="B111" s="2" t="s">
        <v>107</v>
      </c>
      <c r="C111" s="3">
        <v>130</v>
      </c>
      <c r="D111" s="3">
        <v>1</v>
      </c>
      <c r="E111" s="3">
        <v>1</v>
      </c>
      <c r="F111" s="3">
        <f t="shared" si="9"/>
        <v>128</v>
      </c>
      <c r="G111" s="3">
        <v>299</v>
      </c>
      <c r="H111" s="3">
        <f t="shared" si="16"/>
        <v>-171</v>
      </c>
      <c r="I111" s="21">
        <f aca="true" t="shared" si="17" ref="I111:I119">H111/-292*96</f>
        <v>56.21917808219178</v>
      </c>
    </row>
    <row r="112" spans="1:9" ht="13.5">
      <c r="A112" s="1">
        <v>3</v>
      </c>
      <c r="B112" s="2" t="s">
        <v>108</v>
      </c>
      <c r="C112" s="3">
        <v>92</v>
      </c>
      <c r="D112" s="3"/>
      <c r="E112" s="3">
        <v>1</v>
      </c>
      <c r="F112" s="3">
        <f t="shared" si="9"/>
        <v>91</v>
      </c>
      <c r="G112" s="3">
        <v>142</v>
      </c>
      <c r="H112" s="3">
        <f t="shared" si="16"/>
        <v>-51</v>
      </c>
      <c r="I112" s="21">
        <f t="shared" si="17"/>
        <v>16.767123287671232</v>
      </c>
    </row>
    <row r="113" spans="1:9" ht="13.5">
      <c r="A113" s="1">
        <v>4</v>
      </c>
      <c r="B113" s="2" t="s">
        <v>109</v>
      </c>
      <c r="C113" s="3">
        <v>22</v>
      </c>
      <c r="D113" s="3"/>
      <c r="E113" s="3"/>
      <c r="F113" s="3">
        <f t="shared" si="9"/>
        <v>22</v>
      </c>
      <c r="G113" s="3">
        <v>25</v>
      </c>
      <c r="H113" s="3">
        <f t="shared" si="16"/>
        <v>-3</v>
      </c>
      <c r="I113" s="21">
        <f t="shared" si="17"/>
        <v>0.9863013698630136</v>
      </c>
    </row>
    <row r="114" spans="1:9" ht="13.5">
      <c r="A114" s="1">
        <v>5</v>
      </c>
      <c r="B114" s="2" t="s">
        <v>110</v>
      </c>
      <c r="C114" s="3">
        <v>129</v>
      </c>
      <c r="D114" s="3"/>
      <c r="E114" s="3">
        <v>1</v>
      </c>
      <c r="F114" s="3">
        <f t="shared" si="9"/>
        <v>128</v>
      </c>
      <c r="G114" s="3">
        <v>128</v>
      </c>
      <c r="H114" s="3">
        <v>0</v>
      </c>
      <c r="I114" s="21">
        <f t="shared" si="17"/>
        <v>0</v>
      </c>
    </row>
    <row r="115" spans="1:9" ht="13.5">
      <c r="A115" s="1">
        <v>6</v>
      </c>
      <c r="B115" s="2" t="s">
        <v>111</v>
      </c>
      <c r="C115" s="3">
        <v>45</v>
      </c>
      <c r="D115" s="3"/>
      <c r="E115" s="3"/>
      <c r="F115" s="3">
        <f t="shared" si="9"/>
        <v>45</v>
      </c>
      <c r="G115" s="3">
        <v>48</v>
      </c>
      <c r="H115" s="3">
        <f t="shared" si="16"/>
        <v>-3</v>
      </c>
      <c r="I115" s="21">
        <f t="shared" si="17"/>
        <v>0.9863013698630136</v>
      </c>
    </row>
    <row r="116" spans="1:9" ht="13.5">
      <c r="A116" s="1">
        <v>7</v>
      </c>
      <c r="B116" s="2" t="s">
        <v>112</v>
      </c>
      <c r="C116" s="3"/>
      <c r="D116" s="3"/>
      <c r="E116" s="3"/>
      <c r="F116" s="3">
        <f t="shared" si="9"/>
        <v>0</v>
      </c>
      <c r="G116" s="3">
        <v>0</v>
      </c>
      <c r="H116" s="3">
        <f t="shared" si="16"/>
        <v>0</v>
      </c>
      <c r="I116" s="21">
        <f t="shared" si="17"/>
        <v>0</v>
      </c>
    </row>
    <row r="117" spans="1:9" ht="13.5">
      <c r="A117" s="1">
        <v>8</v>
      </c>
      <c r="B117" s="2" t="s">
        <v>113</v>
      </c>
      <c r="C117" s="3">
        <v>3</v>
      </c>
      <c r="D117" s="3"/>
      <c r="E117" s="3"/>
      <c r="F117" s="3">
        <f t="shared" si="9"/>
        <v>3</v>
      </c>
      <c r="G117" s="3">
        <v>3</v>
      </c>
      <c r="H117" s="3">
        <f t="shared" si="16"/>
        <v>0</v>
      </c>
      <c r="I117" s="21">
        <f t="shared" si="17"/>
        <v>0</v>
      </c>
    </row>
    <row r="118" spans="1:9" ht="13.5">
      <c r="A118" s="1">
        <v>9</v>
      </c>
      <c r="B118" s="2" t="s">
        <v>114</v>
      </c>
      <c r="C118" s="3">
        <v>354</v>
      </c>
      <c r="D118" s="3">
        <v>1</v>
      </c>
      <c r="E118" s="3">
        <v>3</v>
      </c>
      <c r="F118" s="3">
        <f t="shared" si="9"/>
        <v>350</v>
      </c>
      <c r="G118" s="3">
        <v>390</v>
      </c>
      <c r="H118" s="3">
        <f t="shared" si="16"/>
        <v>-40</v>
      </c>
      <c r="I118" s="21">
        <f t="shared" si="17"/>
        <v>13.150684931506849</v>
      </c>
    </row>
    <row r="119" spans="1:9" ht="13.5">
      <c r="A119" s="1">
        <v>10</v>
      </c>
      <c r="B119" s="2" t="s">
        <v>115</v>
      </c>
      <c r="C119" s="3">
        <v>170</v>
      </c>
      <c r="D119" s="3"/>
      <c r="E119" s="3">
        <v>3</v>
      </c>
      <c r="F119" s="3">
        <f t="shared" si="9"/>
        <v>167</v>
      </c>
      <c r="G119" s="3">
        <v>167</v>
      </c>
      <c r="H119" s="3">
        <v>0</v>
      </c>
      <c r="I119" s="21">
        <f t="shared" si="17"/>
        <v>0</v>
      </c>
    </row>
    <row r="120" spans="1:9" ht="13.5">
      <c r="A120" s="14" t="s">
        <v>456</v>
      </c>
      <c r="B120" s="15" t="s">
        <v>116</v>
      </c>
      <c r="C120" s="16">
        <f>SUM(C121:C127)</f>
        <v>190</v>
      </c>
      <c r="D120" s="16">
        <f>SUM(D121:D127)</f>
        <v>0</v>
      </c>
      <c r="E120" s="16">
        <f>SUM(E121:E127)</f>
        <v>1</v>
      </c>
      <c r="F120" s="16">
        <f t="shared" si="9"/>
        <v>189</v>
      </c>
      <c r="G120" s="16">
        <f>SUM(G121:G127)</f>
        <v>247</v>
      </c>
      <c r="H120" s="16">
        <f>SUM(H121:H127)</f>
        <v>-58</v>
      </c>
      <c r="I120" s="23">
        <f>H120/-11502*3774</f>
        <v>19.03077725612937</v>
      </c>
    </row>
    <row r="121" spans="1:9" ht="13.5">
      <c r="A121" s="1">
        <v>1</v>
      </c>
      <c r="B121" s="2" t="s">
        <v>117</v>
      </c>
      <c r="C121" s="3">
        <v>25</v>
      </c>
      <c r="D121" s="3"/>
      <c r="E121" s="3"/>
      <c r="F121" s="3">
        <f t="shared" si="9"/>
        <v>25</v>
      </c>
      <c r="G121" s="3">
        <v>38</v>
      </c>
      <c r="H121" s="3">
        <f aca="true" t="shared" si="18" ref="H121:H127">F121-G121</f>
        <v>-13</v>
      </c>
      <c r="I121" s="21">
        <f>H121/58*-19</f>
        <v>4.258620689655173</v>
      </c>
    </row>
    <row r="122" spans="1:9" ht="13.5">
      <c r="A122" s="1">
        <v>2</v>
      </c>
      <c r="B122" s="2" t="s">
        <v>118</v>
      </c>
      <c r="C122" s="3"/>
      <c r="D122" s="3"/>
      <c r="E122" s="3"/>
      <c r="F122" s="3">
        <f t="shared" si="9"/>
        <v>0</v>
      </c>
      <c r="G122" s="3"/>
      <c r="H122" s="3">
        <f t="shared" si="18"/>
        <v>0</v>
      </c>
      <c r="I122" s="21">
        <f aca="true" t="shared" si="19" ref="I122:I127">H122/58*-19</f>
        <v>0</v>
      </c>
    </row>
    <row r="123" spans="1:9" ht="13.5">
      <c r="A123" s="1">
        <v>3</v>
      </c>
      <c r="B123" s="2" t="s">
        <v>119</v>
      </c>
      <c r="C123" s="3"/>
      <c r="D123" s="3"/>
      <c r="E123" s="3"/>
      <c r="F123" s="3">
        <f t="shared" si="9"/>
        <v>0</v>
      </c>
      <c r="G123" s="3"/>
      <c r="H123" s="3">
        <f t="shared" si="18"/>
        <v>0</v>
      </c>
      <c r="I123" s="21">
        <f t="shared" si="19"/>
        <v>0</v>
      </c>
    </row>
    <row r="124" spans="1:9" ht="13.5">
      <c r="A124" s="1">
        <v>4</v>
      </c>
      <c r="B124" s="2" t="s">
        <v>120</v>
      </c>
      <c r="C124" s="3"/>
      <c r="D124" s="3"/>
      <c r="E124" s="3"/>
      <c r="F124" s="3">
        <f t="shared" si="9"/>
        <v>0</v>
      </c>
      <c r="G124" s="3"/>
      <c r="H124" s="3">
        <f t="shared" si="18"/>
        <v>0</v>
      </c>
      <c r="I124" s="21">
        <f t="shared" si="19"/>
        <v>0</v>
      </c>
    </row>
    <row r="125" spans="1:9" ht="13.5">
      <c r="A125" s="1">
        <v>5</v>
      </c>
      <c r="B125" s="2" t="s">
        <v>121</v>
      </c>
      <c r="C125" s="3">
        <v>23</v>
      </c>
      <c r="D125" s="3"/>
      <c r="E125" s="3"/>
      <c r="F125" s="3">
        <f t="shared" si="9"/>
        <v>23</v>
      </c>
      <c r="G125" s="3">
        <v>34</v>
      </c>
      <c r="H125" s="3">
        <f t="shared" si="18"/>
        <v>-11</v>
      </c>
      <c r="I125" s="21">
        <f t="shared" si="19"/>
        <v>3.603448275862069</v>
      </c>
    </row>
    <row r="126" spans="1:9" ht="13.5">
      <c r="A126" s="1">
        <v>6</v>
      </c>
      <c r="B126" s="2" t="s">
        <v>122</v>
      </c>
      <c r="C126" s="3"/>
      <c r="D126" s="3"/>
      <c r="E126" s="3"/>
      <c r="F126" s="3"/>
      <c r="G126" s="3"/>
      <c r="H126" s="3">
        <f t="shared" si="18"/>
        <v>0</v>
      </c>
      <c r="I126" s="21">
        <f t="shared" si="19"/>
        <v>0</v>
      </c>
    </row>
    <row r="127" spans="1:9" ht="13.5">
      <c r="A127" s="1">
        <v>7</v>
      </c>
      <c r="B127" s="2" t="s">
        <v>123</v>
      </c>
      <c r="C127" s="3">
        <v>142</v>
      </c>
      <c r="D127" s="3"/>
      <c r="E127" s="3">
        <v>1</v>
      </c>
      <c r="F127" s="3">
        <f t="shared" si="9"/>
        <v>141</v>
      </c>
      <c r="G127" s="3">
        <v>175</v>
      </c>
      <c r="H127" s="3">
        <f t="shared" si="18"/>
        <v>-34</v>
      </c>
      <c r="I127" s="21">
        <f t="shared" si="19"/>
        <v>11.137931034482758</v>
      </c>
    </row>
    <row r="128" spans="1:9" ht="13.5">
      <c r="A128" s="14" t="s">
        <v>457</v>
      </c>
      <c r="B128" s="15" t="s">
        <v>124</v>
      </c>
      <c r="C128" s="16">
        <f>SUM(C129:C133)</f>
        <v>189</v>
      </c>
      <c r="D128" s="16">
        <f>SUM(D129:D133)</f>
        <v>0</v>
      </c>
      <c r="E128" s="16">
        <f>SUM(E129:E133)</f>
        <v>2</v>
      </c>
      <c r="F128" s="16">
        <f t="shared" si="9"/>
        <v>187</v>
      </c>
      <c r="G128" s="16">
        <f>SUM(G129:G133)</f>
        <v>245</v>
      </c>
      <c r="H128" s="16">
        <f>SUM(H129:H133)</f>
        <v>-58</v>
      </c>
      <c r="I128" s="23">
        <f>H128/-11502*3774</f>
        <v>19.03077725612937</v>
      </c>
    </row>
    <row r="129" spans="1:9" ht="13.5">
      <c r="A129" s="1">
        <v>1</v>
      </c>
      <c r="B129" s="2" t="s">
        <v>125</v>
      </c>
      <c r="C129" s="3">
        <v>1</v>
      </c>
      <c r="D129" s="3"/>
      <c r="E129" s="3"/>
      <c r="F129" s="3">
        <f t="shared" si="9"/>
        <v>1</v>
      </c>
      <c r="G129" s="3">
        <v>37</v>
      </c>
      <c r="H129" s="3">
        <f aca="true" t="shared" si="20" ref="H129:H134">F129-G129</f>
        <v>-36</v>
      </c>
      <c r="I129" s="21">
        <f>H129/58*-19</f>
        <v>11.793103448275863</v>
      </c>
    </row>
    <row r="130" spans="1:9" ht="13.5">
      <c r="A130" s="1">
        <v>2</v>
      </c>
      <c r="B130" s="2" t="s">
        <v>126</v>
      </c>
      <c r="C130" s="3">
        <v>7</v>
      </c>
      <c r="D130" s="3"/>
      <c r="E130" s="3"/>
      <c r="F130" s="3">
        <f t="shared" si="9"/>
        <v>7</v>
      </c>
      <c r="G130" s="3">
        <v>12</v>
      </c>
      <c r="H130" s="3">
        <f t="shared" si="20"/>
        <v>-5</v>
      </c>
      <c r="I130" s="21">
        <f>H130/58*-19</f>
        <v>1.6379310344827587</v>
      </c>
    </row>
    <row r="131" spans="1:9" ht="13.5">
      <c r="A131" s="1">
        <v>3</v>
      </c>
      <c r="B131" s="2" t="s">
        <v>127</v>
      </c>
      <c r="C131" s="3">
        <v>1</v>
      </c>
      <c r="D131" s="3"/>
      <c r="E131" s="3"/>
      <c r="F131" s="3">
        <f t="shared" si="9"/>
        <v>1</v>
      </c>
      <c r="G131" s="3">
        <v>1</v>
      </c>
      <c r="H131" s="3">
        <f t="shared" si="20"/>
        <v>0</v>
      </c>
      <c r="I131" s="21">
        <f>H131/58*-19</f>
        <v>0</v>
      </c>
    </row>
    <row r="132" spans="1:9" ht="13.5">
      <c r="A132" s="1">
        <v>4</v>
      </c>
      <c r="B132" s="2" t="s">
        <v>128</v>
      </c>
      <c r="C132" s="3">
        <v>36</v>
      </c>
      <c r="D132" s="3"/>
      <c r="E132" s="3"/>
      <c r="F132" s="3">
        <f t="shared" si="9"/>
        <v>36</v>
      </c>
      <c r="G132" s="3">
        <v>53</v>
      </c>
      <c r="H132" s="3">
        <f t="shared" si="20"/>
        <v>-17</v>
      </c>
      <c r="I132" s="21">
        <f>H132/58*-19</f>
        <v>5.568965517241379</v>
      </c>
    </row>
    <row r="133" spans="1:9" ht="13.5">
      <c r="A133" s="1">
        <v>5</v>
      </c>
      <c r="B133" s="2" t="s">
        <v>129</v>
      </c>
      <c r="C133" s="3">
        <v>144</v>
      </c>
      <c r="D133" s="3"/>
      <c r="E133" s="3">
        <v>2</v>
      </c>
      <c r="F133" s="3">
        <f t="shared" si="9"/>
        <v>142</v>
      </c>
      <c r="G133" s="3">
        <v>142</v>
      </c>
      <c r="H133" s="3">
        <f t="shared" si="20"/>
        <v>0</v>
      </c>
      <c r="I133" s="21">
        <f>H133/58*-19</f>
        <v>0</v>
      </c>
    </row>
    <row r="134" spans="1:9" ht="13.5">
      <c r="A134" s="14" t="s">
        <v>458</v>
      </c>
      <c r="B134" s="15" t="s">
        <v>130</v>
      </c>
      <c r="C134" s="16">
        <v>2480</v>
      </c>
      <c r="D134" s="16">
        <v>25</v>
      </c>
      <c r="E134" s="16">
        <v>54</v>
      </c>
      <c r="F134" s="16">
        <f t="shared" si="9"/>
        <v>2401</v>
      </c>
      <c r="G134" s="16">
        <v>3072</v>
      </c>
      <c r="H134" s="16">
        <f t="shared" si="20"/>
        <v>-671</v>
      </c>
      <c r="I134" s="23">
        <f>H134/-11502*3774</f>
        <v>220.16640584246218</v>
      </c>
    </row>
    <row r="135" spans="1:9" ht="13.5">
      <c r="A135" s="14" t="s">
        <v>459</v>
      </c>
      <c r="B135" s="15" t="s">
        <v>131</v>
      </c>
      <c r="C135" s="16">
        <f>SUM(C136:C160)</f>
        <v>4064</v>
      </c>
      <c r="D135" s="16">
        <f>SUM(D136:D160)</f>
        <v>15</v>
      </c>
      <c r="E135" s="16">
        <f>SUM(E136:E160)</f>
        <v>54</v>
      </c>
      <c r="F135" s="16">
        <f t="shared" si="9"/>
        <v>3995</v>
      </c>
      <c r="G135" s="16">
        <f>SUM(G136:G160)</f>
        <v>5042</v>
      </c>
      <c r="H135" s="16">
        <f>SUM(H136:H160)</f>
        <v>-1047</v>
      </c>
      <c r="I135" s="23">
        <f>H135/-11502*3774</f>
        <v>343.5383411580595</v>
      </c>
    </row>
    <row r="136" spans="1:9" ht="13.5">
      <c r="A136" s="1">
        <v>1</v>
      </c>
      <c r="B136" s="2" t="s">
        <v>132</v>
      </c>
      <c r="C136" s="3">
        <v>58</v>
      </c>
      <c r="D136" s="3"/>
      <c r="E136" s="3"/>
      <c r="F136" s="3">
        <f aca="true" t="shared" si="21" ref="F136:F199">C136-E136-D136</f>
        <v>58</v>
      </c>
      <c r="G136" s="3">
        <v>64</v>
      </c>
      <c r="H136" s="3">
        <f aca="true" t="shared" si="22" ref="H136:H160">F136-G136</f>
        <v>-6</v>
      </c>
      <c r="I136" s="21">
        <f>H136/1047*-344</f>
        <v>1.97134670487106</v>
      </c>
    </row>
    <row r="137" spans="1:9" ht="13.5">
      <c r="A137" s="1">
        <v>2</v>
      </c>
      <c r="B137" s="2" t="s">
        <v>133</v>
      </c>
      <c r="C137" s="3">
        <v>52</v>
      </c>
      <c r="D137" s="3"/>
      <c r="E137" s="3"/>
      <c r="F137" s="3">
        <f t="shared" si="21"/>
        <v>52</v>
      </c>
      <c r="G137" s="3">
        <v>237</v>
      </c>
      <c r="H137" s="3">
        <f t="shared" si="22"/>
        <v>-185</v>
      </c>
      <c r="I137" s="21">
        <f aca="true" t="shared" si="23" ref="I137:I160">H137/1047*-344</f>
        <v>60.783190066857685</v>
      </c>
    </row>
    <row r="138" spans="1:9" ht="13.5">
      <c r="A138" s="1">
        <v>3</v>
      </c>
      <c r="B138" s="2" t="s">
        <v>134</v>
      </c>
      <c r="C138" s="3">
        <v>225</v>
      </c>
      <c r="D138" s="3"/>
      <c r="E138" s="3">
        <v>4</v>
      </c>
      <c r="F138" s="3">
        <f t="shared" si="21"/>
        <v>221</v>
      </c>
      <c r="G138" s="3">
        <v>221</v>
      </c>
      <c r="H138" s="3">
        <v>0</v>
      </c>
      <c r="I138" s="21">
        <f t="shared" si="23"/>
        <v>0</v>
      </c>
    </row>
    <row r="139" spans="1:9" ht="13.5">
      <c r="A139" s="1">
        <v>4</v>
      </c>
      <c r="B139" s="2" t="s">
        <v>135</v>
      </c>
      <c r="C139" s="3">
        <v>155</v>
      </c>
      <c r="D139" s="3"/>
      <c r="E139" s="3"/>
      <c r="F139" s="3">
        <f t="shared" si="21"/>
        <v>155</v>
      </c>
      <c r="G139" s="3">
        <v>155</v>
      </c>
      <c r="H139" s="3">
        <v>0</v>
      </c>
      <c r="I139" s="21">
        <f t="shared" si="23"/>
        <v>0</v>
      </c>
    </row>
    <row r="140" spans="1:9" ht="13.5">
      <c r="A140" s="1">
        <v>5</v>
      </c>
      <c r="B140" s="2" t="s">
        <v>136</v>
      </c>
      <c r="C140" s="3">
        <v>254</v>
      </c>
      <c r="D140" s="3">
        <v>2</v>
      </c>
      <c r="E140" s="3">
        <v>5</v>
      </c>
      <c r="F140" s="3">
        <f t="shared" si="21"/>
        <v>247</v>
      </c>
      <c r="G140" s="3">
        <v>267</v>
      </c>
      <c r="H140" s="3">
        <f t="shared" si="22"/>
        <v>-20</v>
      </c>
      <c r="I140" s="21">
        <f t="shared" si="23"/>
        <v>6.571155682903535</v>
      </c>
    </row>
    <row r="141" spans="1:9" ht="13.5">
      <c r="A141" s="1">
        <v>6</v>
      </c>
      <c r="B141" s="2" t="s">
        <v>137</v>
      </c>
      <c r="C141" s="3">
        <v>28</v>
      </c>
      <c r="D141" s="3"/>
      <c r="E141" s="3">
        <v>1</v>
      </c>
      <c r="F141" s="3">
        <f t="shared" si="21"/>
        <v>27</v>
      </c>
      <c r="G141" s="3">
        <v>155</v>
      </c>
      <c r="H141" s="3">
        <f t="shared" si="22"/>
        <v>-128</v>
      </c>
      <c r="I141" s="21">
        <f t="shared" si="23"/>
        <v>42.05539637058261</v>
      </c>
    </row>
    <row r="142" spans="1:9" ht="13.5">
      <c r="A142" s="1">
        <v>7</v>
      </c>
      <c r="B142" s="2" t="s">
        <v>138</v>
      </c>
      <c r="C142" s="3">
        <v>207</v>
      </c>
      <c r="D142" s="3"/>
      <c r="E142" s="3">
        <v>4</v>
      </c>
      <c r="F142" s="3">
        <f t="shared" si="21"/>
        <v>203</v>
      </c>
      <c r="G142" s="3">
        <v>203</v>
      </c>
      <c r="H142" s="3">
        <v>0</v>
      </c>
      <c r="I142" s="21">
        <f t="shared" si="23"/>
        <v>0</v>
      </c>
    </row>
    <row r="143" spans="1:9" ht="13.5">
      <c r="A143" s="1">
        <v>8</v>
      </c>
      <c r="B143" s="2" t="s">
        <v>139</v>
      </c>
      <c r="C143" s="3">
        <v>224</v>
      </c>
      <c r="D143" s="3">
        <v>2</v>
      </c>
      <c r="E143" s="3">
        <v>1</v>
      </c>
      <c r="F143" s="3">
        <f t="shared" si="21"/>
        <v>221</v>
      </c>
      <c r="G143" s="3">
        <v>232</v>
      </c>
      <c r="H143" s="3">
        <f t="shared" si="22"/>
        <v>-11</v>
      </c>
      <c r="I143" s="21">
        <f t="shared" si="23"/>
        <v>3.6141356255969432</v>
      </c>
    </row>
    <row r="144" spans="1:9" ht="13.5">
      <c r="A144" s="1">
        <v>9</v>
      </c>
      <c r="B144" s="2" t="s">
        <v>140</v>
      </c>
      <c r="C144" s="3">
        <v>172</v>
      </c>
      <c r="D144" s="3"/>
      <c r="E144" s="3">
        <v>1</v>
      </c>
      <c r="F144" s="3">
        <f t="shared" si="21"/>
        <v>171</v>
      </c>
      <c r="G144" s="3">
        <v>171</v>
      </c>
      <c r="H144" s="3">
        <v>0</v>
      </c>
      <c r="I144" s="21">
        <f t="shared" si="23"/>
        <v>0</v>
      </c>
    </row>
    <row r="145" spans="1:9" ht="13.5">
      <c r="A145" s="1">
        <v>10</v>
      </c>
      <c r="B145" s="2" t="s">
        <v>141</v>
      </c>
      <c r="C145" s="3">
        <v>109</v>
      </c>
      <c r="D145" s="3"/>
      <c r="E145" s="3">
        <v>1</v>
      </c>
      <c r="F145" s="3">
        <f t="shared" si="21"/>
        <v>108</v>
      </c>
      <c r="G145" s="3">
        <v>108</v>
      </c>
      <c r="H145" s="3">
        <v>0</v>
      </c>
      <c r="I145" s="21">
        <f t="shared" si="23"/>
        <v>0</v>
      </c>
    </row>
    <row r="146" spans="1:9" ht="13.5">
      <c r="A146" s="1">
        <v>11</v>
      </c>
      <c r="B146" s="2" t="s">
        <v>142</v>
      </c>
      <c r="C146" s="3">
        <v>157</v>
      </c>
      <c r="D146" s="3"/>
      <c r="E146" s="3">
        <v>1</v>
      </c>
      <c r="F146" s="3">
        <f t="shared" si="21"/>
        <v>156</v>
      </c>
      <c r="G146" s="3">
        <v>156</v>
      </c>
      <c r="H146" s="3">
        <v>0</v>
      </c>
      <c r="I146" s="21">
        <f t="shared" si="23"/>
        <v>0</v>
      </c>
    </row>
    <row r="147" spans="1:9" ht="13.5">
      <c r="A147" s="1">
        <v>12</v>
      </c>
      <c r="B147" s="2" t="s">
        <v>143</v>
      </c>
      <c r="C147" s="3">
        <v>86</v>
      </c>
      <c r="D147" s="3"/>
      <c r="E147" s="3"/>
      <c r="F147" s="3">
        <f t="shared" si="21"/>
        <v>86</v>
      </c>
      <c r="G147" s="3">
        <v>86</v>
      </c>
      <c r="H147" s="3">
        <v>0</v>
      </c>
      <c r="I147" s="21">
        <f t="shared" si="23"/>
        <v>0</v>
      </c>
    </row>
    <row r="148" spans="1:9" ht="13.5">
      <c r="A148" s="1">
        <v>13</v>
      </c>
      <c r="B148" s="2" t="s">
        <v>144</v>
      </c>
      <c r="C148" s="3">
        <v>103</v>
      </c>
      <c r="D148" s="3">
        <v>1</v>
      </c>
      <c r="E148" s="3">
        <v>1</v>
      </c>
      <c r="F148" s="3">
        <f t="shared" si="21"/>
        <v>101</v>
      </c>
      <c r="G148" s="3">
        <v>101</v>
      </c>
      <c r="H148" s="3">
        <v>0</v>
      </c>
      <c r="I148" s="21">
        <f t="shared" si="23"/>
        <v>0</v>
      </c>
    </row>
    <row r="149" spans="1:9" ht="13.5">
      <c r="A149" s="1">
        <v>14</v>
      </c>
      <c r="B149" s="2" t="s">
        <v>145</v>
      </c>
      <c r="C149" s="3">
        <v>130</v>
      </c>
      <c r="D149" s="3">
        <v>1</v>
      </c>
      <c r="E149" s="3">
        <v>1</v>
      </c>
      <c r="F149" s="3">
        <f t="shared" si="21"/>
        <v>128</v>
      </c>
      <c r="G149" s="3">
        <v>128</v>
      </c>
      <c r="H149" s="3">
        <v>0</v>
      </c>
      <c r="I149" s="21">
        <f t="shared" si="23"/>
        <v>0</v>
      </c>
    </row>
    <row r="150" spans="1:9" ht="13.5">
      <c r="A150" s="1">
        <v>15</v>
      </c>
      <c r="B150" s="2" t="s">
        <v>146</v>
      </c>
      <c r="C150" s="3">
        <v>146</v>
      </c>
      <c r="D150" s="3">
        <v>1</v>
      </c>
      <c r="E150" s="3">
        <v>1</v>
      </c>
      <c r="F150" s="3">
        <f t="shared" si="21"/>
        <v>144</v>
      </c>
      <c r="G150" s="3">
        <v>210</v>
      </c>
      <c r="H150" s="3">
        <f t="shared" si="22"/>
        <v>-66</v>
      </c>
      <c r="I150" s="21">
        <f t="shared" si="23"/>
        <v>21.68481375358166</v>
      </c>
    </row>
    <row r="151" spans="1:9" ht="13.5">
      <c r="A151" s="1">
        <v>16</v>
      </c>
      <c r="B151" s="2" t="s">
        <v>147</v>
      </c>
      <c r="C151" s="3">
        <v>107</v>
      </c>
      <c r="D151" s="3">
        <v>1</v>
      </c>
      <c r="E151" s="3">
        <v>1</v>
      </c>
      <c r="F151" s="3">
        <f t="shared" si="21"/>
        <v>105</v>
      </c>
      <c r="G151" s="3">
        <v>105</v>
      </c>
      <c r="H151" s="3">
        <v>0</v>
      </c>
      <c r="I151" s="21">
        <f t="shared" si="23"/>
        <v>0</v>
      </c>
    </row>
    <row r="152" spans="1:9" ht="13.5">
      <c r="A152" s="1">
        <v>17</v>
      </c>
      <c r="B152" s="2" t="s">
        <v>148</v>
      </c>
      <c r="C152" s="3">
        <v>206</v>
      </c>
      <c r="D152" s="3">
        <v>1</v>
      </c>
      <c r="E152" s="3">
        <v>3</v>
      </c>
      <c r="F152" s="3">
        <f t="shared" si="21"/>
        <v>202</v>
      </c>
      <c r="G152" s="3">
        <v>217</v>
      </c>
      <c r="H152" s="3">
        <f t="shared" si="22"/>
        <v>-15</v>
      </c>
      <c r="I152" s="21">
        <f t="shared" si="23"/>
        <v>4.92836676217765</v>
      </c>
    </row>
    <row r="153" spans="1:9" ht="13.5">
      <c r="A153" s="1">
        <v>18</v>
      </c>
      <c r="B153" s="2" t="s">
        <v>149</v>
      </c>
      <c r="C153" s="3">
        <v>183</v>
      </c>
      <c r="D153" s="3">
        <v>1</v>
      </c>
      <c r="E153" s="3">
        <v>5</v>
      </c>
      <c r="F153" s="3">
        <f t="shared" si="21"/>
        <v>177</v>
      </c>
      <c r="G153" s="3">
        <v>185</v>
      </c>
      <c r="H153" s="3">
        <f t="shared" si="22"/>
        <v>-8</v>
      </c>
      <c r="I153" s="21">
        <f t="shared" si="23"/>
        <v>2.6284622731614133</v>
      </c>
    </row>
    <row r="154" spans="1:9" ht="13.5">
      <c r="A154" s="1">
        <v>19</v>
      </c>
      <c r="B154" s="2" t="s">
        <v>150</v>
      </c>
      <c r="C154" s="3">
        <v>913</v>
      </c>
      <c r="D154" s="3">
        <v>4</v>
      </c>
      <c r="E154" s="3">
        <v>16</v>
      </c>
      <c r="F154" s="3">
        <f t="shared" si="21"/>
        <v>893</v>
      </c>
      <c r="G154" s="3">
        <v>1369</v>
      </c>
      <c r="H154" s="3">
        <f t="shared" si="22"/>
        <v>-476</v>
      </c>
      <c r="I154" s="21">
        <f t="shared" si="23"/>
        <v>156.3935052531041</v>
      </c>
    </row>
    <row r="155" spans="1:9" ht="13.5">
      <c r="A155" s="1">
        <v>20</v>
      </c>
      <c r="B155" s="2" t="s">
        <v>151</v>
      </c>
      <c r="C155" s="3">
        <v>192</v>
      </c>
      <c r="D155" s="3"/>
      <c r="E155" s="3">
        <v>2</v>
      </c>
      <c r="F155" s="3">
        <f t="shared" si="21"/>
        <v>190</v>
      </c>
      <c r="G155" s="3">
        <v>322</v>
      </c>
      <c r="H155" s="3">
        <f t="shared" si="22"/>
        <v>-132</v>
      </c>
      <c r="I155" s="21">
        <f t="shared" si="23"/>
        <v>43.36962750716332</v>
      </c>
    </row>
    <row r="156" spans="1:9" ht="13.5">
      <c r="A156" s="1">
        <v>21</v>
      </c>
      <c r="B156" s="2" t="s">
        <v>152</v>
      </c>
      <c r="C156" s="3">
        <v>38</v>
      </c>
      <c r="D156" s="3"/>
      <c r="E156" s="3"/>
      <c r="F156" s="3">
        <f t="shared" si="21"/>
        <v>38</v>
      </c>
      <c r="G156" s="3">
        <v>38</v>
      </c>
      <c r="H156" s="3">
        <v>0</v>
      </c>
      <c r="I156" s="21">
        <f t="shared" si="23"/>
        <v>0</v>
      </c>
    </row>
    <row r="157" spans="1:9" ht="13.5">
      <c r="A157" s="1">
        <v>22</v>
      </c>
      <c r="B157" s="2" t="s">
        <v>153</v>
      </c>
      <c r="C157" s="3">
        <v>15</v>
      </c>
      <c r="D157" s="3"/>
      <c r="E157" s="3"/>
      <c r="F157" s="3">
        <f t="shared" si="21"/>
        <v>15</v>
      </c>
      <c r="G157" s="3">
        <v>15</v>
      </c>
      <c r="H157" s="3">
        <f t="shared" si="22"/>
        <v>0</v>
      </c>
      <c r="I157" s="21">
        <f t="shared" si="23"/>
        <v>0</v>
      </c>
    </row>
    <row r="158" spans="1:9" ht="13.5">
      <c r="A158" s="1">
        <v>23</v>
      </c>
      <c r="B158" s="2" t="s">
        <v>154</v>
      </c>
      <c r="C158" s="3">
        <v>53</v>
      </c>
      <c r="D158" s="3"/>
      <c r="E158" s="3"/>
      <c r="F158" s="3">
        <f t="shared" si="21"/>
        <v>53</v>
      </c>
      <c r="G158" s="3">
        <v>53</v>
      </c>
      <c r="H158" s="3">
        <f t="shared" si="22"/>
        <v>0</v>
      </c>
      <c r="I158" s="21">
        <f t="shared" si="23"/>
        <v>0</v>
      </c>
    </row>
    <row r="159" spans="1:9" ht="13.5">
      <c r="A159" s="1">
        <v>24</v>
      </c>
      <c r="B159" s="2" t="s">
        <v>155</v>
      </c>
      <c r="C159" s="3">
        <v>251</v>
      </c>
      <c r="D159" s="3">
        <v>1</v>
      </c>
      <c r="E159" s="3">
        <v>6</v>
      </c>
      <c r="F159" s="3">
        <f t="shared" si="21"/>
        <v>244</v>
      </c>
      <c r="G159" s="3">
        <v>244</v>
      </c>
      <c r="H159" s="3">
        <f t="shared" si="22"/>
        <v>0</v>
      </c>
      <c r="I159" s="21">
        <f t="shared" si="23"/>
        <v>0</v>
      </c>
    </row>
    <row r="160" spans="1:9" ht="13.5">
      <c r="A160" s="1">
        <v>25</v>
      </c>
      <c r="B160" s="2" t="s">
        <v>156</v>
      </c>
      <c r="C160" s="3"/>
      <c r="D160" s="3"/>
      <c r="E160" s="3"/>
      <c r="F160" s="3">
        <f t="shared" si="21"/>
        <v>0</v>
      </c>
      <c r="G160" s="3"/>
      <c r="H160" s="3">
        <f t="shared" si="22"/>
        <v>0</v>
      </c>
      <c r="I160" s="21">
        <f t="shared" si="23"/>
        <v>0</v>
      </c>
    </row>
    <row r="161" spans="1:9" ht="13.5">
      <c r="A161" s="14" t="s">
        <v>460</v>
      </c>
      <c r="B161" s="15" t="s">
        <v>157</v>
      </c>
      <c r="C161" s="16">
        <f>SUM(C162:C196)</f>
        <v>5664</v>
      </c>
      <c r="D161" s="16">
        <f>SUM(D162:D196)</f>
        <v>47</v>
      </c>
      <c r="E161" s="16">
        <f>SUM(E162:E196)</f>
        <v>125</v>
      </c>
      <c r="F161" s="16">
        <f t="shared" si="21"/>
        <v>5492</v>
      </c>
      <c r="G161" s="16">
        <f>SUM(G162:G196)</f>
        <v>7050</v>
      </c>
      <c r="H161" s="16">
        <f>SUM(H162:H196)</f>
        <v>-1558</v>
      </c>
      <c r="I161" s="23">
        <f>H161/-11502*3774</f>
        <v>511.206051121544</v>
      </c>
    </row>
    <row r="162" spans="1:9" ht="13.5">
      <c r="A162" s="1">
        <v>1</v>
      </c>
      <c r="B162" s="2" t="s">
        <v>158</v>
      </c>
      <c r="C162" s="3">
        <v>182</v>
      </c>
      <c r="D162" s="3">
        <v>1</v>
      </c>
      <c r="E162" s="3">
        <v>1</v>
      </c>
      <c r="F162" s="3">
        <f t="shared" si="21"/>
        <v>180</v>
      </c>
      <c r="G162" s="3">
        <v>225</v>
      </c>
      <c r="H162" s="3">
        <f aca="true" t="shared" si="24" ref="H162:H196">F162-G162</f>
        <v>-45</v>
      </c>
      <c r="I162" s="21">
        <f>H162/1558*-511</f>
        <v>14.759306803594352</v>
      </c>
    </row>
    <row r="163" spans="1:9" ht="13.5">
      <c r="A163" s="1">
        <v>2</v>
      </c>
      <c r="B163" s="2" t="s">
        <v>159</v>
      </c>
      <c r="C163" s="3">
        <v>339</v>
      </c>
      <c r="D163" s="3">
        <v>7</v>
      </c>
      <c r="E163" s="3">
        <v>6</v>
      </c>
      <c r="F163" s="3">
        <f t="shared" si="21"/>
        <v>326</v>
      </c>
      <c r="G163" s="3">
        <v>326</v>
      </c>
      <c r="H163" s="3">
        <v>0</v>
      </c>
      <c r="I163" s="21">
        <f aca="true" t="shared" si="25" ref="I163:I196">H163/1558*-511</f>
        <v>0</v>
      </c>
    </row>
    <row r="164" spans="1:9" ht="13.5">
      <c r="A164" s="1">
        <v>3</v>
      </c>
      <c r="B164" s="2" t="s">
        <v>160</v>
      </c>
      <c r="C164" s="3">
        <v>63</v>
      </c>
      <c r="D164" s="3">
        <v>1</v>
      </c>
      <c r="E164" s="3"/>
      <c r="F164" s="3">
        <f t="shared" si="21"/>
        <v>62</v>
      </c>
      <c r="G164" s="3">
        <v>62</v>
      </c>
      <c r="H164" s="3">
        <v>0</v>
      </c>
      <c r="I164" s="21">
        <f t="shared" si="25"/>
        <v>0</v>
      </c>
    </row>
    <row r="165" spans="1:9" ht="13.5">
      <c r="A165" s="1">
        <v>4</v>
      </c>
      <c r="B165" s="2" t="s">
        <v>161</v>
      </c>
      <c r="C165" s="3">
        <v>36</v>
      </c>
      <c r="D165" s="3">
        <v>1</v>
      </c>
      <c r="E165" s="3"/>
      <c r="F165" s="3">
        <f t="shared" si="21"/>
        <v>35</v>
      </c>
      <c r="G165" s="3">
        <v>130</v>
      </c>
      <c r="H165" s="3">
        <f t="shared" si="24"/>
        <v>-95</v>
      </c>
      <c r="I165" s="21">
        <f t="shared" si="25"/>
        <v>31.15853658536585</v>
      </c>
    </row>
    <row r="166" spans="1:9" ht="13.5">
      <c r="A166" s="1">
        <v>5</v>
      </c>
      <c r="B166" s="2" t="s">
        <v>162</v>
      </c>
      <c r="C166" s="3">
        <v>216</v>
      </c>
      <c r="D166" s="3">
        <v>2</v>
      </c>
      <c r="E166" s="3">
        <v>10</v>
      </c>
      <c r="F166" s="3">
        <f t="shared" si="21"/>
        <v>204</v>
      </c>
      <c r="G166" s="3">
        <v>233</v>
      </c>
      <c r="H166" s="3">
        <f t="shared" si="24"/>
        <v>-29</v>
      </c>
      <c r="I166" s="21">
        <f t="shared" si="25"/>
        <v>9.511553273427472</v>
      </c>
    </row>
    <row r="167" spans="1:9" ht="13.5">
      <c r="A167" s="1">
        <v>6</v>
      </c>
      <c r="B167" s="2" t="s">
        <v>163</v>
      </c>
      <c r="C167" s="3">
        <v>247</v>
      </c>
      <c r="D167" s="3">
        <v>6</v>
      </c>
      <c r="E167" s="3">
        <v>10</v>
      </c>
      <c r="F167" s="3">
        <f t="shared" si="21"/>
        <v>231</v>
      </c>
      <c r="G167" s="3">
        <v>231</v>
      </c>
      <c r="H167" s="3">
        <v>0</v>
      </c>
      <c r="I167" s="21">
        <f t="shared" si="25"/>
        <v>0</v>
      </c>
    </row>
    <row r="168" spans="1:9" ht="13.5">
      <c r="A168" s="1">
        <v>7</v>
      </c>
      <c r="B168" s="2" t="s">
        <v>164</v>
      </c>
      <c r="C168" s="3">
        <v>85</v>
      </c>
      <c r="D168" s="3"/>
      <c r="E168" s="3">
        <v>1</v>
      </c>
      <c r="F168" s="3">
        <f t="shared" si="21"/>
        <v>84</v>
      </c>
      <c r="G168" s="3">
        <v>86</v>
      </c>
      <c r="H168" s="3">
        <f t="shared" si="24"/>
        <v>-2</v>
      </c>
      <c r="I168" s="21">
        <f t="shared" si="25"/>
        <v>0.6559691912708601</v>
      </c>
    </row>
    <row r="169" spans="1:9" ht="13.5">
      <c r="A169" s="1">
        <v>8</v>
      </c>
      <c r="B169" s="2" t="s">
        <v>165</v>
      </c>
      <c r="C169" s="3">
        <v>83</v>
      </c>
      <c r="D169" s="3"/>
      <c r="E169" s="3">
        <v>2</v>
      </c>
      <c r="F169" s="3">
        <f t="shared" si="21"/>
        <v>81</v>
      </c>
      <c r="G169" s="3">
        <v>98</v>
      </c>
      <c r="H169" s="3">
        <f t="shared" si="24"/>
        <v>-17</v>
      </c>
      <c r="I169" s="21">
        <f t="shared" si="25"/>
        <v>5.57573812580231</v>
      </c>
    </row>
    <row r="170" spans="1:9" ht="13.5">
      <c r="A170" s="1">
        <v>9</v>
      </c>
      <c r="B170" s="2" t="s">
        <v>166</v>
      </c>
      <c r="C170" s="3">
        <v>171</v>
      </c>
      <c r="D170" s="3"/>
      <c r="E170" s="3">
        <v>7</v>
      </c>
      <c r="F170" s="3">
        <f t="shared" si="21"/>
        <v>164</v>
      </c>
      <c r="G170" s="3">
        <v>164</v>
      </c>
      <c r="H170" s="3">
        <v>0</v>
      </c>
      <c r="I170" s="21">
        <f t="shared" si="25"/>
        <v>0</v>
      </c>
    </row>
    <row r="171" spans="1:9" ht="13.5">
      <c r="A171" s="1">
        <v>10</v>
      </c>
      <c r="B171" s="2" t="s">
        <v>167</v>
      </c>
      <c r="C171" s="3">
        <v>493</v>
      </c>
      <c r="D171" s="3">
        <v>5</v>
      </c>
      <c r="E171" s="3">
        <v>23</v>
      </c>
      <c r="F171" s="3">
        <f t="shared" si="21"/>
        <v>465</v>
      </c>
      <c r="G171" s="3">
        <v>465</v>
      </c>
      <c r="H171" s="3">
        <v>0</v>
      </c>
      <c r="I171" s="21">
        <f t="shared" si="25"/>
        <v>0</v>
      </c>
    </row>
    <row r="172" spans="1:9" ht="13.5">
      <c r="A172" s="1">
        <v>11</v>
      </c>
      <c r="B172" s="2" t="s">
        <v>168</v>
      </c>
      <c r="C172" s="3">
        <v>86</v>
      </c>
      <c r="D172" s="3"/>
      <c r="E172" s="3">
        <v>2</v>
      </c>
      <c r="F172" s="3">
        <f t="shared" si="21"/>
        <v>84</v>
      </c>
      <c r="G172" s="3">
        <v>84</v>
      </c>
      <c r="H172" s="3">
        <v>0</v>
      </c>
      <c r="I172" s="21">
        <f t="shared" si="25"/>
        <v>0</v>
      </c>
    </row>
    <row r="173" spans="1:9" ht="13.5">
      <c r="A173" s="1">
        <v>12</v>
      </c>
      <c r="B173" s="2" t="s">
        <v>169</v>
      </c>
      <c r="C173" s="3">
        <v>90</v>
      </c>
      <c r="D173" s="3">
        <v>1</v>
      </c>
      <c r="E173" s="3">
        <v>1</v>
      </c>
      <c r="F173" s="3">
        <f t="shared" si="21"/>
        <v>88</v>
      </c>
      <c r="G173" s="3">
        <v>88</v>
      </c>
      <c r="H173" s="3">
        <v>0</v>
      </c>
      <c r="I173" s="21">
        <f t="shared" si="25"/>
        <v>0</v>
      </c>
    </row>
    <row r="174" spans="1:9" ht="13.5">
      <c r="A174" s="1">
        <v>13</v>
      </c>
      <c r="B174" s="2" t="s">
        <v>170</v>
      </c>
      <c r="C174" s="3">
        <v>110</v>
      </c>
      <c r="D174" s="3"/>
      <c r="E174" s="3"/>
      <c r="F174" s="3">
        <f t="shared" si="21"/>
        <v>110</v>
      </c>
      <c r="G174" s="3">
        <v>110</v>
      </c>
      <c r="H174" s="3">
        <v>0</v>
      </c>
      <c r="I174" s="21">
        <f t="shared" si="25"/>
        <v>0</v>
      </c>
    </row>
    <row r="175" spans="1:9" ht="13.5">
      <c r="A175" s="1">
        <v>14</v>
      </c>
      <c r="B175" s="2" t="s">
        <v>171</v>
      </c>
      <c r="C175" s="3">
        <v>179</v>
      </c>
      <c r="D175" s="3">
        <v>3</v>
      </c>
      <c r="E175" s="3">
        <v>3</v>
      </c>
      <c r="F175" s="3">
        <f t="shared" si="21"/>
        <v>173</v>
      </c>
      <c r="G175" s="3">
        <v>228</v>
      </c>
      <c r="H175" s="3">
        <f t="shared" si="24"/>
        <v>-55</v>
      </c>
      <c r="I175" s="21">
        <f t="shared" si="25"/>
        <v>18.03915275994865</v>
      </c>
    </row>
    <row r="176" spans="1:9" ht="13.5">
      <c r="A176" s="1">
        <v>15</v>
      </c>
      <c r="B176" s="2" t="s">
        <v>172</v>
      </c>
      <c r="C176" s="3">
        <v>63</v>
      </c>
      <c r="D176" s="3">
        <v>1</v>
      </c>
      <c r="E176" s="3">
        <v>1</v>
      </c>
      <c r="F176" s="3">
        <f t="shared" si="21"/>
        <v>61</v>
      </c>
      <c r="G176" s="3">
        <v>61</v>
      </c>
      <c r="H176" s="3">
        <v>0</v>
      </c>
      <c r="I176" s="21">
        <f t="shared" si="25"/>
        <v>0</v>
      </c>
    </row>
    <row r="177" spans="1:9" ht="13.5">
      <c r="A177" s="1">
        <v>16</v>
      </c>
      <c r="B177" s="2" t="s">
        <v>173</v>
      </c>
      <c r="C177" s="3">
        <v>81</v>
      </c>
      <c r="D177" s="3"/>
      <c r="E177" s="3">
        <v>3</v>
      </c>
      <c r="F177" s="3">
        <f t="shared" si="21"/>
        <v>78</v>
      </c>
      <c r="G177" s="3">
        <v>218</v>
      </c>
      <c r="H177" s="3">
        <f t="shared" si="24"/>
        <v>-140</v>
      </c>
      <c r="I177" s="21">
        <f t="shared" si="25"/>
        <v>45.91784338896021</v>
      </c>
    </row>
    <row r="178" spans="1:9" ht="13.5">
      <c r="A178" s="1">
        <v>17</v>
      </c>
      <c r="B178" s="2" t="s">
        <v>174</v>
      </c>
      <c r="C178" s="3">
        <v>76</v>
      </c>
      <c r="D178" s="3"/>
      <c r="E178" s="3"/>
      <c r="F178" s="3">
        <f t="shared" si="21"/>
        <v>76</v>
      </c>
      <c r="G178" s="3">
        <v>84</v>
      </c>
      <c r="H178" s="3">
        <f t="shared" si="24"/>
        <v>-8</v>
      </c>
      <c r="I178" s="21">
        <f t="shared" si="25"/>
        <v>2.6238767650834403</v>
      </c>
    </row>
    <row r="179" spans="1:9" ht="13.5">
      <c r="A179" s="1">
        <v>18</v>
      </c>
      <c r="B179" s="2" t="s">
        <v>175</v>
      </c>
      <c r="C179" s="3">
        <v>207</v>
      </c>
      <c r="D179" s="3">
        <v>2</v>
      </c>
      <c r="E179" s="3">
        <v>4</v>
      </c>
      <c r="F179" s="3">
        <f t="shared" si="21"/>
        <v>201</v>
      </c>
      <c r="G179" s="3">
        <v>228</v>
      </c>
      <c r="H179" s="3">
        <f t="shared" si="24"/>
        <v>-27</v>
      </c>
      <c r="I179" s="21">
        <f t="shared" si="25"/>
        <v>8.85558408215661</v>
      </c>
    </row>
    <row r="180" spans="1:9" ht="13.5">
      <c r="A180" s="1">
        <v>19</v>
      </c>
      <c r="B180" s="2" t="s">
        <v>176</v>
      </c>
      <c r="C180" s="3">
        <v>88</v>
      </c>
      <c r="D180" s="3">
        <v>2</v>
      </c>
      <c r="E180" s="3"/>
      <c r="F180" s="3">
        <f t="shared" si="21"/>
        <v>86</v>
      </c>
      <c r="G180" s="3">
        <v>86</v>
      </c>
      <c r="H180" s="3">
        <v>0</v>
      </c>
      <c r="I180" s="21">
        <f t="shared" si="25"/>
        <v>0</v>
      </c>
    </row>
    <row r="181" spans="1:9" ht="13.5">
      <c r="A181" s="1">
        <v>20</v>
      </c>
      <c r="B181" s="2" t="s">
        <v>177</v>
      </c>
      <c r="C181" s="3">
        <v>121</v>
      </c>
      <c r="D181" s="3">
        <v>2</v>
      </c>
      <c r="E181" s="3"/>
      <c r="F181" s="3">
        <f t="shared" si="21"/>
        <v>119</v>
      </c>
      <c r="G181" s="3">
        <v>187</v>
      </c>
      <c r="H181" s="3">
        <f t="shared" si="24"/>
        <v>-68</v>
      </c>
      <c r="I181" s="21">
        <f t="shared" si="25"/>
        <v>22.30295250320924</v>
      </c>
    </row>
    <row r="182" spans="1:9" ht="13.5">
      <c r="A182" s="1">
        <v>21</v>
      </c>
      <c r="B182" s="2" t="s">
        <v>178</v>
      </c>
      <c r="C182" s="3">
        <v>38</v>
      </c>
      <c r="D182" s="3"/>
      <c r="E182" s="3">
        <v>1</v>
      </c>
      <c r="F182" s="3">
        <f t="shared" si="21"/>
        <v>37</v>
      </c>
      <c r="G182" s="3">
        <v>37</v>
      </c>
      <c r="H182" s="3">
        <v>0</v>
      </c>
      <c r="I182" s="21">
        <f t="shared" si="25"/>
        <v>0</v>
      </c>
    </row>
    <row r="183" spans="1:9" ht="13.5">
      <c r="A183" s="1">
        <v>22</v>
      </c>
      <c r="B183" s="2" t="s">
        <v>179</v>
      </c>
      <c r="C183" s="3">
        <v>79</v>
      </c>
      <c r="D183" s="3"/>
      <c r="E183" s="3">
        <v>2</v>
      </c>
      <c r="F183" s="3">
        <f t="shared" si="21"/>
        <v>77</v>
      </c>
      <c r="G183" s="3">
        <v>77</v>
      </c>
      <c r="H183" s="3">
        <v>0</v>
      </c>
      <c r="I183" s="21">
        <f t="shared" si="25"/>
        <v>0</v>
      </c>
    </row>
    <row r="184" spans="1:9" ht="13.5">
      <c r="A184" s="1">
        <v>23</v>
      </c>
      <c r="B184" s="2" t="s">
        <v>180</v>
      </c>
      <c r="C184" s="3">
        <v>123</v>
      </c>
      <c r="D184" s="3"/>
      <c r="E184" s="3">
        <v>1</v>
      </c>
      <c r="F184" s="3">
        <f t="shared" si="21"/>
        <v>122</v>
      </c>
      <c r="G184" s="3">
        <v>122</v>
      </c>
      <c r="H184" s="3">
        <v>0</v>
      </c>
      <c r="I184" s="21">
        <f t="shared" si="25"/>
        <v>0</v>
      </c>
    </row>
    <row r="185" spans="1:9" ht="13.5">
      <c r="A185" s="1">
        <v>24</v>
      </c>
      <c r="B185" s="2" t="s">
        <v>181</v>
      </c>
      <c r="C185" s="3">
        <v>100</v>
      </c>
      <c r="D185" s="3"/>
      <c r="E185" s="3">
        <v>2</v>
      </c>
      <c r="F185" s="3">
        <f t="shared" si="21"/>
        <v>98</v>
      </c>
      <c r="G185" s="3">
        <v>111</v>
      </c>
      <c r="H185" s="3">
        <f t="shared" si="24"/>
        <v>-13</v>
      </c>
      <c r="I185" s="21">
        <f t="shared" si="25"/>
        <v>4.2637997432605905</v>
      </c>
    </row>
    <row r="186" spans="1:9" ht="13.5">
      <c r="A186" s="1">
        <v>25</v>
      </c>
      <c r="B186" s="2" t="s">
        <v>182</v>
      </c>
      <c r="C186" s="3">
        <v>21</v>
      </c>
      <c r="D186" s="3"/>
      <c r="E186" s="3">
        <v>1</v>
      </c>
      <c r="F186" s="3">
        <f t="shared" si="21"/>
        <v>20</v>
      </c>
      <c r="G186" s="3">
        <v>39</v>
      </c>
      <c r="H186" s="3">
        <f t="shared" si="24"/>
        <v>-19</v>
      </c>
      <c r="I186" s="21">
        <f t="shared" si="25"/>
        <v>6.231707317073171</v>
      </c>
    </row>
    <row r="187" spans="1:9" ht="13.5">
      <c r="A187" s="1">
        <v>26</v>
      </c>
      <c r="B187" s="2" t="s">
        <v>183</v>
      </c>
      <c r="C187" s="3">
        <v>70</v>
      </c>
      <c r="D187" s="3"/>
      <c r="E187" s="3">
        <v>2</v>
      </c>
      <c r="F187" s="3">
        <f t="shared" si="21"/>
        <v>68</v>
      </c>
      <c r="G187" s="3">
        <v>71</v>
      </c>
      <c r="H187" s="3">
        <f t="shared" si="24"/>
        <v>-3</v>
      </c>
      <c r="I187" s="21">
        <f t="shared" si="25"/>
        <v>0.9839537869062902</v>
      </c>
    </row>
    <row r="188" spans="1:9" ht="13.5">
      <c r="A188" s="1">
        <v>27</v>
      </c>
      <c r="B188" s="2" t="s">
        <v>184</v>
      </c>
      <c r="C188" s="3">
        <v>63</v>
      </c>
      <c r="D188" s="3"/>
      <c r="E188" s="3">
        <v>1</v>
      </c>
      <c r="F188" s="3">
        <f t="shared" si="21"/>
        <v>62</v>
      </c>
      <c r="G188" s="3">
        <v>62</v>
      </c>
      <c r="H188" s="3">
        <v>0</v>
      </c>
      <c r="I188" s="21">
        <f t="shared" si="25"/>
        <v>0</v>
      </c>
    </row>
    <row r="189" spans="1:9" ht="13.5">
      <c r="A189" s="1">
        <v>28</v>
      </c>
      <c r="B189" s="2" t="s">
        <v>185</v>
      </c>
      <c r="C189" s="3">
        <v>140</v>
      </c>
      <c r="D189" s="3">
        <v>1</v>
      </c>
      <c r="E189" s="3">
        <v>1</v>
      </c>
      <c r="F189" s="3">
        <f t="shared" si="21"/>
        <v>138</v>
      </c>
      <c r="G189" s="3">
        <v>269</v>
      </c>
      <c r="H189" s="3">
        <f t="shared" si="24"/>
        <v>-131</v>
      </c>
      <c r="I189" s="21">
        <f t="shared" si="25"/>
        <v>42.965982028241335</v>
      </c>
    </row>
    <row r="190" spans="1:9" ht="13.5">
      <c r="A190" s="1">
        <v>29</v>
      </c>
      <c r="B190" s="2" t="s">
        <v>186</v>
      </c>
      <c r="C190" s="3">
        <v>67</v>
      </c>
      <c r="D190" s="3"/>
      <c r="E190" s="3"/>
      <c r="F190" s="3">
        <f t="shared" si="21"/>
        <v>67</v>
      </c>
      <c r="G190" s="3">
        <v>89</v>
      </c>
      <c r="H190" s="3">
        <f t="shared" si="24"/>
        <v>-22</v>
      </c>
      <c r="I190" s="21">
        <f t="shared" si="25"/>
        <v>7.2156611039794605</v>
      </c>
    </row>
    <row r="191" spans="1:9" ht="13.5">
      <c r="A191" s="1">
        <v>30</v>
      </c>
      <c r="B191" s="2" t="s">
        <v>187</v>
      </c>
      <c r="C191" s="3">
        <v>258</v>
      </c>
      <c r="D191" s="3">
        <v>2</v>
      </c>
      <c r="E191" s="3">
        <v>5</v>
      </c>
      <c r="F191" s="3">
        <f t="shared" si="21"/>
        <v>251</v>
      </c>
      <c r="G191" s="3">
        <v>251</v>
      </c>
      <c r="H191" s="3">
        <v>0</v>
      </c>
      <c r="I191" s="21">
        <f t="shared" si="25"/>
        <v>0</v>
      </c>
    </row>
    <row r="192" spans="1:9" ht="13.5">
      <c r="A192" s="1">
        <v>31</v>
      </c>
      <c r="B192" s="2" t="s">
        <v>188</v>
      </c>
      <c r="C192" s="3">
        <v>672</v>
      </c>
      <c r="D192" s="3">
        <v>4</v>
      </c>
      <c r="E192" s="3">
        <v>19</v>
      </c>
      <c r="F192" s="3">
        <f t="shared" si="21"/>
        <v>649</v>
      </c>
      <c r="G192" s="3">
        <v>649</v>
      </c>
      <c r="H192" s="3">
        <v>0</v>
      </c>
      <c r="I192" s="21">
        <f t="shared" si="25"/>
        <v>0</v>
      </c>
    </row>
    <row r="193" spans="1:9" ht="13.5">
      <c r="A193" s="1">
        <v>32</v>
      </c>
      <c r="B193" s="2" t="s">
        <v>189</v>
      </c>
      <c r="C193" s="3">
        <v>117</v>
      </c>
      <c r="D193" s="3">
        <v>1</v>
      </c>
      <c r="E193" s="3">
        <v>1</v>
      </c>
      <c r="F193" s="3">
        <f t="shared" si="21"/>
        <v>115</v>
      </c>
      <c r="G193" s="3">
        <v>162</v>
      </c>
      <c r="H193" s="3">
        <f t="shared" si="24"/>
        <v>-47</v>
      </c>
      <c r="I193" s="21">
        <f t="shared" si="25"/>
        <v>15.415275994865212</v>
      </c>
    </row>
    <row r="194" spans="1:9" ht="13.5">
      <c r="A194" s="1">
        <v>33</v>
      </c>
      <c r="B194" s="2" t="s">
        <v>190</v>
      </c>
      <c r="C194" s="3">
        <v>663</v>
      </c>
      <c r="D194" s="3">
        <v>3</v>
      </c>
      <c r="E194" s="3">
        <v>10</v>
      </c>
      <c r="F194" s="3">
        <f t="shared" si="21"/>
        <v>650</v>
      </c>
      <c r="G194" s="3">
        <v>1470</v>
      </c>
      <c r="H194" s="3">
        <f t="shared" si="24"/>
        <v>-820</v>
      </c>
      <c r="I194" s="21">
        <f t="shared" si="25"/>
        <v>268.9473684210526</v>
      </c>
    </row>
    <row r="195" spans="1:9" ht="13.5">
      <c r="A195" s="1">
        <v>34</v>
      </c>
      <c r="B195" s="2" t="s">
        <v>191</v>
      </c>
      <c r="C195" s="3">
        <v>149</v>
      </c>
      <c r="D195" s="3">
        <v>1</v>
      </c>
      <c r="E195" s="3">
        <v>3</v>
      </c>
      <c r="F195" s="3">
        <f t="shared" si="21"/>
        <v>145</v>
      </c>
      <c r="G195" s="3">
        <v>157</v>
      </c>
      <c r="H195" s="3">
        <f t="shared" si="24"/>
        <v>-12</v>
      </c>
      <c r="I195" s="21">
        <f t="shared" si="25"/>
        <v>3.935815147625161</v>
      </c>
    </row>
    <row r="196" spans="1:9" ht="13.5">
      <c r="A196" s="1">
        <v>35</v>
      </c>
      <c r="B196" s="2" t="s">
        <v>192</v>
      </c>
      <c r="C196" s="3">
        <v>88</v>
      </c>
      <c r="D196" s="3">
        <v>1</v>
      </c>
      <c r="E196" s="3">
        <v>2</v>
      </c>
      <c r="F196" s="3">
        <f t="shared" si="21"/>
        <v>85</v>
      </c>
      <c r="G196" s="3">
        <v>90</v>
      </c>
      <c r="H196" s="3">
        <f t="shared" si="24"/>
        <v>-5</v>
      </c>
      <c r="I196" s="21">
        <f t="shared" si="25"/>
        <v>1.6399229781771503</v>
      </c>
    </row>
    <row r="197" spans="1:9" ht="13.5">
      <c r="A197" s="14" t="s">
        <v>461</v>
      </c>
      <c r="B197" s="15" t="s">
        <v>193</v>
      </c>
      <c r="C197" s="16">
        <f>SUM(C198:C202)</f>
        <v>2169</v>
      </c>
      <c r="D197" s="16">
        <f>SUM(D198:D202)</f>
        <v>24</v>
      </c>
      <c r="E197" s="16">
        <f>SUM(E198:E202)</f>
        <v>52</v>
      </c>
      <c r="F197" s="16">
        <f t="shared" si="21"/>
        <v>2093</v>
      </c>
      <c r="G197" s="16">
        <f>SUM(G198:G202)</f>
        <v>2240</v>
      </c>
      <c r="H197" s="16">
        <f>SUM(H198:H202)</f>
        <v>-147</v>
      </c>
      <c r="I197" s="23">
        <f>H197/-11502*3774</f>
        <v>48.23317683881064</v>
      </c>
    </row>
    <row r="198" spans="1:9" ht="13.5">
      <c r="A198" s="1">
        <v>1</v>
      </c>
      <c r="B198" s="2" t="s">
        <v>194</v>
      </c>
      <c r="C198" s="3">
        <v>269</v>
      </c>
      <c r="D198" s="3">
        <v>3</v>
      </c>
      <c r="E198" s="3">
        <v>8</v>
      </c>
      <c r="F198" s="3">
        <f t="shared" si="21"/>
        <v>258</v>
      </c>
      <c r="G198" s="3">
        <v>258</v>
      </c>
      <c r="H198" s="3">
        <v>0</v>
      </c>
      <c r="I198" s="21">
        <f>H198/147*-48</f>
        <v>0</v>
      </c>
    </row>
    <row r="199" spans="1:9" ht="13.5">
      <c r="A199" s="1">
        <v>2</v>
      </c>
      <c r="B199" s="2" t="s">
        <v>195</v>
      </c>
      <c r="C199" s="3">
        <v>451</v>
      </c>
      <c r="D199" s="3">
        <v>6</v>
      </c>
      <c r="E199" s="3">
        <v>10</v>
      </c>
      <c r="F199" s="3">
        <f t="shared" si="21"/>
        <v>435</v>
      </c>
      <c r="G199" s="3">
        <v>489</v>
      </c>
      <c r="H199" s="3">
        <f>F199-G199</f>
        <v>-54</v>
      </c>
      <c r="I199" s="21">
        <f>H199/147*-48</f>
        <v>17.63265306122449</v>
      </c>
    </row>
    <row r="200" spans="1:9" ht="13.5">
      <c r="A200" s="1">
        <v>3</v>
      </c>
      <c r="B200" s="2" t="s">
        <v>196</v>
      </c>
      <c r="C200" s="3">
        <v>242</v>
      </c>
      <c r="D200" s="3">
        <v>2</v>
      </c>
      <c r="E200" s="3">
        <v>2</v>
      </c>
      <c r="F200" s="3">
        <f aca="true" t="shared" si="26" ref="F200:F263">C200-E200-D200</f>
        <v>238</v>
      </c>
      <c r="G200" s="3">
        <v>252</v>
      </c>
      <c r="H200" s="3">
        <f>F200-G200</f>
        <v>-14</v>
      </c>
      <c r="I200" s="21">
        <f>H200/147*-48</f>
        <v>4.571428571428571</v>
      </c>
    </row>
    <row r="201" spans="1:9" ht="13.5">
      <c r="A201" s="1">
        <v>4</v>
      </c>
      <c r="B201" s="2" t="s">
        <v>197</v>
      </c>
      <c r="C201" s="3">
        <v>516</v>
      </c>
      <c r="D201" s="3">
        <v>7</v>
      </c>
      <c r="E201" s="3">
        <v>10</v>
      </c>
      <c r="F201" s="3">
        <f t="shared" si="26"/>
        <v>499</v>
      </c>
      <c r="G201" s="3">
        <v>499</v>
      </c>
      <c r="H201" s="3">
        <v>0</v>
      </c>
      <c r="I201" s="21">
        <f>H201/147*-48</f>
        <v>0</v>
      </c>
    </row>
    <row r="202" spans="1:9" ht="13.5">
      <c r="A202" s="1">
        <v>5</v>
      </c>
      <c r="B202" s="2" t="s">
        <v>198</v>
      </c>
      <c r="C202" s="3">
        <v>691</v>
      </c>
      <c r="D202" s="3">
        <v>6</v>
      </c>
      <c r="E202" s="3">
        <v>22</v>
      </c>
      <c r="F202" s="3">
        <f t="shared" si="26"/>
        <v>663</v>
      </c>
      <c r="G202" s="3">
        <v>742</v>
      </c>
      <c r="H202" s="3">
        <f>F202-G202</f>
        <v>-79</v>
      </c>
      <c r="I202" s="21">
        <f>H202/147*-48</f>
        <v>25.795918367346943</v>
      </c>
    </row>
    <row r="203" spans="1:9" ht="13.5">
      <c r="A203" s="14" t="s">
        <v>462</v>
      </c>
      <c r="B203" s="15" t="s">
        <v>199</v>
      </c>
      <c r="C203" s="16">
        <f>SUM(C204:C241)</f>
        <v>5227</v>
      </c>
      <c r="D203" s="16">
        <f>SUM(D204:D241)</f>
        <v>43</v>
      </c>
      <c r="E203" s="16">
        <f>SUM(E204:E241)</f>
        <v>137</v>
      </c>
      <c r="F203" s="16">
        <f t="shared" si="26"/>
        <v>5047</v>
      </c>
      <c r="G203" s="16">
        <f>SUM(G204:G241)</f>
        <v>5575</v>
      </c>
      <c r="H203" s="16">
        <f>SUM(H204:H241)</f>
        <v>-528</v>
      </c>
      <c r="I203" s="23">
        <f>H203/-11502*3774</f>
        <v>173.24569640062597</v>
      </c>
    </row>
    <row r="204" spans="1:9" ht="13.5">
      <c r="A204" s="1">
        <v>1</v>
      </c>
      <c r="B204" s="2" t="s">
        <v>200</v>
      </c>
      <c r="C204" s="3">
        <v>78</v>
      </c>
      <c r="D204" s="3">
        <v>3</v>
      </c>
      <c r="E204" s="3">
        <v>1</v>
      </c>
      <c r="F204" s="3">
        <f t="shared" si="26"/>
        <v>74</v>
      </c>
      <c r="G204" s="3">
        <v>74</v>
      </c>
      <c r="H204" s="3">
        <v>0</v>
      </c>
      <c r="I204" s="21">
        <f>H204/528*-173</f>
        <v>0</v>
      </c>
    </row>
    <row r="205" spans="1:9" ht="13.5">
      <c r="A205" s="1">
        <v>2</v>
      </c>
      <c r="B205" s="2" t="s">
        <v>201</v>
      </c>
      <c r="C205" s="3">
        <v>196</v>
      </c>
      <c r="D205" s="3">
        <v>2</v>
      </c>
      <c r="E205" s="3">
        <v>6</v>
      </c>
      <c r="F205" s="3">
        <f t="shared" si="26"/>
        <v>188</v>
      </c>
      <c r="G205" s="3">
        <v>188</v>
      </c>
      <c r="H205" s="3">
        <v>0</v>
      </c>
      <c r="I205" s="21">
        <f aca="true" t="shared" si="27" ref="I205:I241">H205/528*-173</f>
        <v>0</v>
      </c>
    </row>
    <row r="206" spans="1:9" ht="13.5">
      <c r="A206" s="1">
        <v>3</v>
      </c>
      <c r="B206" s="2" t="s">
        <v>202</v>
      </c>
      <c r="C206" s="3">
        <v>111</v>
      </c>
      <c r="D206" s="3">
        <v>1</v>
      </c>
      <c r="E206" s="3"/>
      <c r="F206" s="3">
        <f t="shared" si="26"/>
        <v>110</v>
      </c>
      <c r="G206" s="3">
        <v>110</v>
      </c>
      <c r="H206" s="3">
        <v>0</v>
      </c>
      <c r="I206" s="21">
        <f t="shared" si="27"/>
        <v>0</v>
      </c>
    </row>
    <row r="207" spans="1:9" ht="13.5">
      <c r="A207" s="1">
        <v>4</v>
      </c>
      <c r="B207" s="2" t="s">
        <v>203</v>
      </c>
      <c r="C207" s="3">
        <v>189</v>
      </c>
      <c r="D207" s="3">
        <v>1</v>
      </c>
      <c r="E207" s="3">
        <v>16</v>
      </c>
      <c r="F207" s="3">
        <f t="shared" si="26"/>
        <v>172</v>
      </c>
      <c r="G207" s="3">
        <v>172</v>
      </c>
      <c r="H207" s="3">
        <v>0</v>
      </c>
      <c r="I207" s="21">
        <f t="shared" si="27"/>
        <v>0</v>
      </c>
    </row>
    <row r="208" spans="1:9" ht="13.5">
      <c r="A208" s="1">
        <v>5</v>
      </c>
      <c r="B208" s="2" t="s">
        <v>204</v>
      </c>
      <c r="C208" s="3">
        <v>30</v>
      </c>
      <c r="D208" s="3"/>
      <c r="E208" s="3"/>
      <c r="F208" s="3">
        <f t="shared" si="26"/>
        <v>30</v>
      </c>
      <c r="G208" s="3">
        <v>30</v>
      </c>
      <c r="H208" s="3">
        <f aca="true" t="shared" si="28" ref="H208:H241">F208-G208</f>
        <v>0</v>
      </c>
      <c r="I208" s="21">
        <f t="shared" si="27"/>
        <v>0</v>
      </c>
    </row>
    <row r="209" spans="1:9" ht="13.5">
      <c r="A209" s="1">
        <v>6</v>
      </c>
      <c r="B209" s="2" t="s">
        <v>205</v>
      </c>
      <c r="C209" s="3">
        <v>10</v>
      </c>
      <c r="D209" s="3"/>
      <c r="E209" s="3"/>
      <c r="F209" s="3">
        <f t="shared" si="26"/>
        <v>10</v>
      </c>
      <c r="G209" s="3">
        <v>27</v>
      </c>
      <c r="H209" s="3">
        <f t="shared" si="28"/>
        <v>-17</v>
      </c>
      <c r="I209" s="21">
        <f t="shared" si="27"/>
        <v>5.570075757575758</v>
      </c>
    </row>
    <row r="210" spans="1:9" ht="13.5">
      <c r="A210" s="1">
        <v>7</v>
      </c>
      <c r="B210" s="2" t="s">
        <v>206</v>
      </c>
      <c r="C210" s="3">
        <v>136</v>
      </c>
      <c r="D210" s="3">
        <v>2</v>
      </c>
      <c r="E210" s="3">
        <v>8</v>
      </c>
      <c r="F210" s="3">
        <f t="shared" si="26"/>
        <v>126</v>
      </c>
      <c r="G210" s="3">
        <v>184</v>
      </c>
      <c r="H210" s="3">
        <f t="shared" si="28"/>
        <v>-58</v>
      </c>
      <c r="I210" s="21">
        <f t="shared" si="27"/>
        <v>19.00378787878788</v>
      </c>
    </row>
    <row r="211" spans="1:9" ht="13.5">
      <c r="A211" s="1">
        <v>8</v>
      </c>
      <c r="B211" s="2" t="s">
        <v>207</v>
      </c>
      <c r="C211" s="3">
        <v>91</v>
      </c>
      <c r="D211" s="3"/>
      <c r="E211" s="3">
        <v>1</v>
      </c>
      <c r="F211" s="3">
        <f t="shared" si="26"/>
        <v>90</v>
      </c>
      <c r="G211" s="3">
        <v>103</v>
      </c>
      <c r="H211" s="3">
        <f t="shared" si="28"/>
        <v>-13</v>
      </c>
      <c r="I211" s="21">
        <f t="shared" si="27"/>
        <v>4.259469696969696</v>
      </c>
    </row>
    <row r="212" spans="1:9" ht="13.5">
      <c r="A212" s="1">
        <v>9</v>
      </c>
      <c r="B212" s="2" t="s">
        <v>208</v>
      </c>
      <c r="C212" s="3">
        <v>284</v>
      </c>
      <c r="D212" s="3">
        <v>2</v>
      </c>
      <c r="E212" s="3">
        <v>9</v>
      </c>
      <c r="F212" s="3">
        <f t="shared" si="26"/>
        <v>273</v>
      </c>
      <c r="G212" s="3">
        <v>273</v>
      </c>
      <c r="H212" s="3">
        <v>0</v>
      </c>
      <c r="I212" s="21">
        <f t="shared" si="27"/>
        <v>0</v>
      </c>
    </row>
    <row r="213" spans="1:9" ht="13.5">
      <c r="A213" s="1">
        <v>10</v>
      </c>
      <c r="B213" s="2" t="s">
        <v>209</v>
      </c>
      <c r="C213" s="3">
        <v>138</v>
      </c>
      <c r="D213" s="3">
        <v>2</v>
      </c>
      <c r="E213" s="3">
        <v>3</v>
      </c>
      <c r="F213" s="3">
        <f t="shared" si="26"/>
        <v>133</v>
      </c>
      <c r="G213" s="3">
        <v>133</v>
      </c>
      <c r="H213" s="3">
        <v>0</v>
      </c>
      <c r="I213" s="21">
        <f t="shared" si="27"/>
        <v>0</v>
      </c>
    </row>
    <row r="214" spans="1:9" ht="13.5">
      <c r="A214" s="1">
        <v>11</v>
      </c>
      <c r="B214" s="2" t="s">
        <v>210</v>
      </c>
      <c r="C214" s="3">
        <v>65</v>
      </c>
      <c r="D214" s="3">
        <v>2</v>
      </c>
      <c r="E214" s="3">
        <v>1</v>
      </c>
      <c r="F214" s="3">
        <f t="shared" si="26"/>
        <v>62</v>
      </c>
      <c r="G214" s="3">
        <v>74</v>
      </c>
      <c r="H214" s="3">
        <f t="shared" si="28"/>
        <v>-12</v>
      </c>
      <c r="I214" s="21">
        <f t="shared" si="27"/>
        <v>3.931818181818182</v>
      </c>
    </row>
    <row r="215" spans="1:9" ht="13.5">
      <c r="A215" s="1">
        <v>12</v>
      </c>
      <c r="B215" s="2" t="s">
        <v>211</v>
      </c>
      <c r="C215" s="3">
        <v>37</v>
      </c>
      <c r="D215" s="3"/>
      <c r="E215" s="3">
        <v>1</v>
      </c>
      <c r="F215" s="3">
        <f t="shared" si="26"/>
        <v>36</v>
      </c>
      <c r="G215" s="3">
        <v>44</v>
      </c>
      <c r="H215" s="3">
        <f t="shared" si="28"/>
        <v>-8</v>
      </c>
      <c r="I215" s="21">
        <f t="shared" si="27"/>
        <v>2.621212121212121</v>
      </c>
    </row>
    <row r="216" spans="1:9" ht="13.5">
      <c r="A216" s="1">
        <v>13</v>
      </c>
      <c r="B216" s="2" t="s">
        <v>212</v>
      </c>
      <c r="C216" s="3">
        <v>27</v>
      </c>
      <c r="D216" s="3"/>
      <c r="E216" s="3"/>
      <c r="F216" s="3">
        <f t="shared" si="26"/>
        <v>27</v>
      </c>
      <c r="G216" s="3">
        <v>43</v>
      </c>
      <c r="H216" s="3">
        <f t="shared" si="28"/>
        <v>-16</v>
      </c>
      <c r="I216" s="21">
        <f t="shared" si="27"/>
        <v>5.242424242424242</v>
      </c>
    </row>
    <row r="217" spans="1:9" ht="13.5">
      <c r="A217" s="1">
        <v>14</v>
      </c>
      <c r="B217" s="2" t="s">
        <v>213</v>
      </c>
      <c r="C217" s="3">
        <v>59</v>
      </c>
      <c r="D217" s="3"/>
      <c r="E217" s="3"/>
      <c r="F217" s="3">
        <f t="shared" si="26"/>
        <v>59</v>
      </c>
      <c r="G217" s="3">
        <v>61</v>
      </c>
      <c r="H217" s="3">
        <f t="shared" si="28"/>
        <v>-2</v>
      </c>
      <c r="I217" s="21">
        <f t="shared" si="27"/>
        <v>0.6553030303030303</v>
      </c>
    </row>
    <row r="218" spans="1:9" ht="13.5">
      <c r="A218" s="1">
        <v>15</v>
      </c>
      <c r="B218" s="2" t="s">
        <v>214</v>
      </c>
      <c r="C218" s="3">
        <v>285</v>
      </c>
      <c r="D218" s="3">
        <v>2</v>
      </c>
      <c r="E218" s="3">
        <v>3</v>
      </c>
      <c r="F218" s="3">
        <f t="shared" si="26"/>
        <v>280</v>
      </c>
      <c r="G218" s="3">
        <v>280</v>
      </c>
      <c r="H218" s="3">
        <v>0</v>
      </c>
      <c r="I218" s="21">
        <f t="shared" si="27"/>
        <v>0</v>
      </c>
    </row>
    <row r="219" spans="1:9" ht="13.5">
      <c r="A219" s="1">
        <v>16</v>
      </c>
      <c r="B219" s="2" t="s">
        <v>215</v>
      </c>
      <c r="C219" s="3">
        <v>80</v>
      </c>
      <c r="D219" s="3">
        <v>1</v>
      </c>
      <c r="E219" s="3">
        <v>1</v>
      </c>
      <c r="F219" s="3">
        <f t="shared" si="26"/>
        <v>78</v>
      </c>
      <c r="G219" s="3">
        <v>79</v>
      </c>
      <c r="H219" s="3">
        <f t="shared" si="28"/>
        <v>-1</v>
      </c>
      <c r="I219" s="21">
        <f t="shared" si="27"/>
        <v>0.32765151515151514</v>
      </c>
    </row>
    <row r="220" spans="1:9" ht="13.5">
      <c r="A220" s="1">
        <v>17</v>
      </c>
      <c r="B220" s="2" t="s">
        <v>216</v>
      </c>
      <c r="C220" s="3">
        <v>226</v>
      </c>
      <c r="D220" s="3">
        <v>1</v>
      </c>
      <c r="E220" s="3">
        <v>5</v>
      </c>
      <c r="F220" s="3">
        <f t="shared" si="26"/>
        <v>220</v>
      </c>
      <c r="G220" s="3">
        <v>234</v>
      </c>
      <c r="H220" s="3">
        <f t="shared" si="28"/>
        <v>-14</v>
      </c>
      <c r="I220" s="21">
        <f t="shared" si="27"/>
        <v>4.587121212121212</v>
      </c>
    </row>
    <row r="221" spans="1:9" ht="13.5">
      <c r="A221" s="1">
        <v>18</v>
      </c>
      <c r="B221" s="2" t="s">
        <v>217</v>
      </c>
      <c r="C221" s="3">
        <v>203</v>
      </c>
      <c r="D221" s="3"/>
      <c r="E221" s="3">
        <v>3</v>
      </c>
      <c r="F221" s="3">
        <f t="shared" si="26"/>
        <v>200</v>
      </c>
      <c r="G221" s="3">
        <v>200</v>
      </c>
      <c r="H221" s="3">
        <v>0</v>
      </c>
      <c r="I221" s="21">
        <f t="shared" si="27"/>
        <v>0</v>
      </c>
    </row>
    <row r="222" spans="1:9" ht="13.5">
      <c r="A222" s="1">
        <v>19</v>
      </c>
      <c r="B222" s="2" t="s">
        <v>218</v>
      </c>
      <c r="C222" s="3">
        <v>59</v>
      </c>
      <c r="D222" s="3"/>
      <c r="E222" s="3">
        <v>2</v>
      </c>
      <c r="F222" s="3">
        <f t="shared" si="26"/>
        <v>57</v>
      </c>
      <c r="G222" s="3">
        <v>57</v>
      </c>
      <c r="H222" s="3">
        <v>0</v>
      </c>
      <c r="I222" s="21">
        <f t="shared" si="27"/>
        <v>0</v>
      </c>
    </row>
    <row r="223" spans="1:9" ht="13.5">
      <c r="A223" s="1">
        <v>20</v>
      </c>
      <c r="B223" s="2" t="s">
        <v>219</v>
      </c>
      <c r="C223" s="3">
        <v>129</v>
      </c>
      <c r="D223" s="3">
        <v>2</v>
      </c>
      <c r="E223" s="3">
        <v>1</v>
      </c>
      <c r="F223" s="3">
        <f t="shared" si="26"/>
        <v>126</v>
      </c>
      <c r="G223" s="3">
        <v>126</v>
      </c>
      <c r="H223" s="3">
        <v>0</v>
      </c>
      <c r="I223" s="21">
        <f t="shared" si="27"/>
        <v>0</v>
      </c>
    </row>
    <row r="224" spans="1:9" ht="13.5">
      <c r="A224" s="1">
        <v>21</v>
      </c>
      <c r="B224" s="2" t="s">
        <v>220</v>
      </c>
      <c r="C224" s="3">
        <v>71</v>
      </c>
      <c r="D224" s="3"/>
      <c r="E224" s="3">
        <v>2</v>
      </c>
      <c r="F224" s="3">
        <f t="shared" si="26"/>
        <v>69</v>
      </c>
      <c r="G224" s="3">
        <v>69</v>
      </c>
      <c r="H224" s="3">
        <v>0</v>
      </c>
      <c r="I224" s="21">
        <f t="shared" si="27"/>
        <v>0</v>
      </c>
    </row>
    <row r="225" spans="1:9" ht="13.5">
      <c r="A225" s="1">
        <v>22</v>
      </c>
      <c r="B225" s="2" t="s">
        <v>221</v>
      </c>
      <c r="C225" s="3">
        <v>110</v>
      </c>
      <c r="D225" s="3">
        <v>1</v>
      </c>
      <c r="E225" s="3">
        <v>3</v>
      </c>
      <c r="F225" s="3">
        <f t="shared" si="26"/>
        <v>106</v>
      </c>
      <c r="G225" s="3">
        <v>106</v>
      </c>
      <c r="H225" s="3">
        <v>0</v>
      </c>
      <c r="I225" s="21">
        <f t="shared" si="27"/>
        <v>0</v>
      </c>
    </row>
    <row r="226" spans="1:9" ht="13.5">
      <c r="A226" s="1">
        <v>23</v>
      </c>
      <c r="B226" s="2" t="s">
        <v>222</v>
      </c>
      <c r="C226" s="3">
        <v>91</v>
      </c>
      <c r="D226" s="3">
        <v>2</v>
      </c>
      <c r="E226" s="3"/>
      <c r="F226" s="3">
        <f t="shared" si="26"/>
        <v>89</v>
      </c>
      <c r="G226" s="3">
        <v>106</v>
      </c>
      <c r="H226" s="3">
        <f t="shared" si="28"/>
        <v>-17</v>
      </c>
      <c r="I226" s="21">
        <f t="shared" si="27"/>
        <v>5.570075757575758</v>
      </c>
    </row>
    <row r="227" spans="1:9" ht="13.5">
      <c r="A227" s="1">
        <v>24</v>
      </c>
      <c r="B227" s="2" t="s">
        <v>223</v>
      </c>
      <c r="C227" s="3">
        <v>42</v>
      </c>
      <c r="D227" s="3"/>
      <c r="E227" s="3"/>
      <c r="F227" s="3">
        <f t="shared" si="26"/>
        <v>42</v>
      </c>
      <c r="G227" s="3">
        <v>60</v>
      </c>
      <c r="H227" s="3">
        <f t="shared" si="28"/>
        <v>-18</v>
      </c>
      <c r="I227" s="21">
        <f t="shared" si="27"/>
        <v>5.8977272727272725</v>
      </c>
    </row>
    <row r="228" spans="1:9" ht="13.5">
      <c r="A228" s="1">
        <v>25</v>
      </c>
      <c r="B228" s="2" t="s">
        <v>224</v>
      </c>
      <c r="C228" s="3">
        <v>50</v>
      </c>
      <c r="D228" s="3"/>
      <c r="E228" s="3"/>
      <c r="F228" s="3">
        <f t="shared" si="26"/>
        <v>50</v>
      </c>
      <c r="G228" s="3">
        <v>98</v>
      </c>
      <c r="H228" s="3">
        <f t="shared" si="28"/>
        <v>-48</v>
      </c>
      <c r="I228" s="21">
        <f t="shared" si="27"/>
        <v>15.727272727272728</v>
      </c>
    </row>
    <row r="229" spans="1:9" ht="13.5">
      <c r="A229" s="1">
        <v>26</v>
      </c>
      <c r="B229" s="2" t="s">
        <v>225</v>
      </c>
      <c r="C229" s="3">
        <v>50</v>
      </c>
      <c r="D229" s="3"/>
      <c r="E229" s="3"/>
      <c r="F229" s="3">
        <f t="shared" si="26"/>
        <v>50</v>
      </c>
      <c r="G229" s="3">
        <v>60</v>
      </c>
      <c r="H229" s="3">
        <f t="shared" si="28"/>
        <v>-10</v>
      </c>
      <c r="I229" s="21">
        <f t="shared" si="27"/>
        <v>3.276515151515152</v>
      </c>
    </row>
    <row r="230" spans="1:9" ht="13.5">
      <c r="A230" s="1">
        <v>27</v>
      </c>
      <c r="B230" s="2" t="s">
        <v>226</v>
      </c>
      <c r="C230" s="3">
        <v>1</v>
      </c>
      <c r="D230" s="3"/>
      <c r="E230" s="3"/>
      <c r="F230" s="3">
        <f t="shared" si="26"/>
        <v>1</v>
      </c>
      <c r="G230" s="3">
        <v>29</v>
      </c>
      <c r="H230" s="3">
        <f t="shared" si="28"/>
        <v>-28</v>
      </c>
      <c r="I230" s="21">
        <f t="shared" si="27"/>
        <v>9.174242424242424</v>
      </c>
    </row>
    <row r="231" spans="1:9" ht="13.5">
      <c r="A231" s="1">
        <v>28</v>
      </c>
      <c r="B231" s="2" t="s">
        <v>227</v>
      </c>
      <c r="C231" s="3">
        <v>116</v>
      </c>
      <c r="D231" s="3"/>
      <c r="E231" s="3">
        <v>6</v>
      </c>
      <c r="F231" s="3">
        <f t="shared" si="26"/>
        <v>110</v>
      </c>
      <c r="G231" s="3">
        <v>172</v>
      </c>
      <c r="H231" s="3">
        <f t="shared" si="28"/>
        <v>-62</v>
      </c>
      <c r="I231" s="21">
        <f t="shared" si="27"/>
        <v>20.31439393939394</v>
      </c>
    </row>
    <row r="232" spans="1:9" ht="13.5">
      <c r="A232" s="1">
        <v>29</v>
      </c>
      <c r="B232" s="2" t="s">
        <v>228</v>
      </c>
      <c r="C232" s="3">
        <v>57</v>
      </c>
      <c r="D232" s="3"/>
      <c r="E232" s="3"/>
      <c r="F232" s="3">
        <f t="shared" si="26"/>
        <v>57</v>
      </c>
      <c r="G232" s="3">
        <v>57</v>
      </c>
      <c r="H232" s="3">
        <v>0</v>
      </c>
      <c r="I232" s="21">
        <f t="shared" si="27"/>
        <v>0</v>
      </c>
    </row>
    <row r="233" spans="1:9" ht="13.5">
      <c r="A233" s="1">
        <v>30</v>
      </c>
      <c r="B233" s="2" t="s">
        <v>229</v>
      </c>
      <c r="C233" s="3">
        <v>205</v>
      </c>
      <c r="D233" s="3">
        <v>1</v>
      </c>
      <c r="E233" s="3">
        <v>5</v>
      </c>
      <c r="F233" s="3">
        <f t="shared" si="26"/>
        <v>199</v>
      </c>
      <c r="G233" s="3">
        <v>199</v>
      </c>
      <c r="H233" s="3">
        <v>0</v>
      </c>
      <c r="I233" s="21">
        <f t="shared" si="27"/>
        <v>0</v>
      </c>
    </row>
    <row r="234" spans="1:9" ht="13.5">
      <c r="A234" s="1">
        <v>31</v>
      </c>
      <c r="B234" s="2" t="s">
        <v>230</v>
      </c>
      <c r="C234" s="3">
        <v>214</v>
      </c>
      <c r="D234" s="3">
        <v>2</v>
      </c>
      <c r="E234" s="3">
        <v>4</v>
      </c>
      <c r="F234" s="3">
        <f t="shared" si="26"/>
        <v>208</v>
      </c>
      <c r="G234" s="3">
        <v>208</v>
      </c>
      <c r="H234" s="3">
        <v>0</v>
      </c>
      <c r="I234" s="21">
        <f t="shared" si="27"/>
        <v>0</v>
      </c>
    </row>
    <row r="235" spans="1:9" ht="13.5">
      <c r="A235" s="1">
        <v>32</v>
      </c>
      <c r="B235" s="2" t="s">
        <v>231</v>
      </c>
      <c r="C235" s="3">
        <v>347</v>
      </c>
      <c r="D235" s="3">
        <v>4</v>
      </c>
      <c r="E235" s="3">
        <v>8</v>
      </c>
      <c r="F235" s="3">
        <f t="shared" si="26"/>
        <v>335</v>
      </c>
      <c r="G235" s="3">
        <v>335</v>
      </c>
      <c r="H235" s="3">
        <v>0</v>
      </c>
      <c r="I235" s="21">
        <f t="shared" si="27"/>
        <v>0</v>
      </c>
    </row>
    <row r="236" spans="1:9" ht="13.5">
      <c r="A236" s="1">
        <v>33</v>
      </c>
      <c r="B236" s="2" t="s">
        <v>232</v>
      </c>
      <c r="C236" s="3">
        <v>133</v>
      </c>
      <c r="D236" s="3">
        <v>1</v>
      </c>
      <c r="E236" s="3">
        <v>2</v>
      </c>
      <c r="F236" s="3">
        <f t="shared" si="26"/>
        <v>130</v>
      </c>
      <c r="G236" s="3">
        <v>150</v>
      </c>
      <c r="H236" s="3">
        <f t="shared" si="28"/>
        <v>-20</v>
      </c>
      <c r="I236" s="21">
        <f t="shared" si="27"/>
        <v>6.553030303030304</v>
      </c>
    </row>
    <row r="237" spans="1:9" ht="13.5">
      <c r="A237" s="1">
        <v>34</v>
      </c>
      <c r="B237" s="2" t="s">
        <v>233</v>
      </c>
      <c r="C237" s="3">
        <v>64</v>
      </c>
      <c r="D237" s="3">
        <v>1</v>
      </c>
      <c r="E237" s="3">
        <v>2</v>
      </c>
      <c r="F237" s="3">
        <f t="shared" si="26"/>
        <v>61</v>
      </c>
      <c r="G237" s="3">
        <v>90</v>
      </c>
      <c r="H237" s="3">
        <f t="shared" si="28"/>
        <v>-29</v>
      </c>
      <c r="I237" s="21">
        <f t="shared" si="27"/>
        <v>9.50189393939394</v>
      </c>
    </row>
    <row r="238" spans="1:9" ht="13.5">
      <c r="A238" s="1">
        <v>35</v>
      </c>
      <c r="B238" s="2" t="s">
        <v>234</v>
      </c>
      <c r="C238" s="3">
        <v>26</v>
      </c>
      <c r="D238" s="3"/>
      <c r="E238" s="3">
        <v>1</v>
      </c>
      <c r="F238" s="3">
        <f t="shared" si="26"/>
        <v>25</v>
      </c>
      <c r="G238" s="3">
        <v>85</v>
      </c>
      <c r="H238" s="3">
        <f t="shared" si="28"/>
        <v>-60</v>
      </c>
      <c r="I238" s="21">
        <f t="shared" si="27"/>
        <v>19.65909090909091</v>
      </c>
    </row>
    <row r="239" spans="1:9" ht="13.5">
      <c r="A239" s="1">
        <v>36</v>
      </c>
      <c r="B239" s="2" t="s">
        <v>235</v>
      </c>
      <c r="C239" s="3">
        <v>320</v>
      </c>
      <c r="D239" s="3">
        <v>4</v>
      </c>
      <c r="E239" s="3">
        <v>16</v>
      </c>
      <c r="F239" s="3">
        <f t="shared" si="26"/>
        <v>300</v>
      </c>
      <c r="G239" s="3">
        <v>300</v>
      </c>
      <c r="H239" s="3">
        <v>0</v>
      </c>
      <c r="I239" s="21">
        <f t="shared" si="27"/>
        <v>0</v>
      </c>
    </row>
    <row r="240" spans="1:9" ht="13.5">
      <c r="A240" s="1">
        <v>37</v>
      </c>
      <c r="B240" s="2" t="s">
        <v>236</v>
      </c>
      <c r="C240" s="3">
        <v>888</v>
      </c>
      <c r="D240" s="3">
        <v>6</v>
      </c>
      <c r="E240" s="3">
        <v>27</v>
      </c>
      <c r="F240" s="3">
        <f t="shared" si="26"/>
        <v>855</v>
      </c>
      <c r="G240" s="3">
        <v>950</v>
      </c>
      <c r="H240" s="3">
        <f t="shared" si="28"/>
        <v>-95</v>
      </c>
      <c r="I240" s="21">
        <f t="shared" si="27"/>
        <v>31.12689393939394</v>
      </c>
    </row>
    <row r="241" spans="1:9" ht="13.5">
      <c r="A241" s="1">
        <v>38</v>
      </c>
      <c r="B241" s="2" t="s">
        <v>237</v>
      </c>
      <c r="C241" s="3">
        <v>9</v>
      </c>
      <c r="D241" s="3"/>
      <c r="E241" s="3"/>
      <c r="F241" s="3">
        <f t="shared" si="26"/>
        <v>9</v>
      </c>
      <c r="G241" s="3">
        <v>9</v>
      </c>
      <c r="H241" s="3">
        <f t="shared" si="28"/>
        <v>0</v>
      </c>
      <c r="I241" s="21">
        <f t="shared" si="27"/>
        <v>0</v>
      </c>
    </row>
    <row r="242" spans="1:9" ht="13.5">
      <c r="A242" s="14" t="s">
        <v>463</v>
      </c>
      <c r="B242" s="15" t="s">
        <v>238</v>
      </c>
      <c r="C242" s="16">
        <f>SUM(C243:C248)</f>
        <v>662</v>
      </c>
      <c r="D242" s="16">
        <f>SUM(D243:D248)</f>
        <v>3</v>
      </c>
      <c r="E242" s="16">
        <f>SUM(E243:E248)</f>
        <v>8</v>
      </c>
      <c r="F242" s="16">
        <f t="shared" si="26"/>
        <v>651</v>
      </c>
      <c r="G242" s="16">
        <f>SUM(G243:G248)</f>
        <v>717</v>
      </c>
      <c r="H242" s="16">
        <f>SUM(H243:H248)</f>
        <v>-66</v>
      </c>
      <c r="I242" s="23">
        <f>H242/-11502*3774</f>
        <v>21.655712050078247</v>
      </c>
    </row>
    <row r="243" spans="1:9" ht="13.5">
      <c r="A243" s="1">
        <v>1</v>
      </c>
      <c r="B243" s="2" t="s">
        <v>239</v>
      </c>
      <c r="C243" s="3">
        <v>76</v>
      </c>
      <c r="D243" s="3"/>
      <c r="E243" s="3">
        <v>1</v>
      </c>
      <c r="F243" s="3">
        <f t="shared" si="26"/>
        <v>75</v>
      </c>
      <c r="G243" s="3">
        <v>75</v>
      </c>
      <c r="H243" s="3">
        <v>0</v>
      </c>
      <c r="I243" s="21">
        <f aca="true" t="shared" si="29" ref="I243:I248">H243/-66*22</f>
        <v>0</v>
      </c>
    </row>
    <row r="244" spans="1:9" ht="13.5">
      <c r="A244" s="1">
        <v>2</v>
      </c>
      <c r="B244" s="2" t="s">
        <v>240</v>
      </c>
      <c r="C244" s="3">
        <v>51</v>
      </c>
      <c r="D244" s="3"/>
      <c r="E244" s="3"/>
      <c r="F244" s="3">
        <f t="shared" si="26"/>
        <v>51</v>
      </c>
      <c r="G244" s="3">
        <v>71</v>
      </c>
      <c r="H244" s="3">
        <f>F244-G244</f>
        <v>-20</v>
      </c>
      <c r="I244" s="21">
        <f t="shared" si="29"/>
        <v>6.666666666666667</v>
      </c>
    </row>
    <row r="245" spans="1:9" ht="13.5">
      <c r="A245" s="1">
        <v>3</v>
      </c>
      <c r="B245" s="2" t="s">
        <v>241</v>
      </c>
      <c r="C245" s="3">
        <v>58</v>
      </c>
      <c r="D245" s="3"/>
      <c r="E245" s="3"/>
      <c r="F245" s="3">
        <f t="shared" si="26"/>
        <v>58</v>
      </c>
      <c r="G245" s="3">
        <v>58</v>
      </c>
      <c r="H245" s="3">
        <v>0</v>
      </c>
      <c r="I245" s="21">
        <f t="shared" si="29"/>
        <v>0</v>
      </c>
    </row>
    <row r="246" spans="1:9" ht="13.5">
      <c r="A246" s="1">
        <v>4</v>
      </c>
      <c r="B246" s="2" t="s">
        <v>242</v>
      </c>
      <c r="C246" s="3">
        <v>160</v>
      </c>
      <c r="D246" s="3">
        <v>2</v>
      </c>
      <c r="E246" s="3">
        <v>3</v>
      </c>
      <c r="F246" s="3">
        <f t="shared" si="26"/>
        <v>155</v>
      </c>
      <c r="G246" s="3">
        <v>171</v>
      </c>
      <c r="H246" s="3">
        <f>F246-G246</f>
        <v>-16</v>
      </c>
      <c r="I246" s="21">
        <f t="shared" si="29"/>
        <v>5.333333333333334</v>
      </c>
    </row>
    <row r="247" spans="1:9" ht="13.5">
      <c r="A247" s="1">
        <v>5</v>
      </c>
      <c r="B247" s="2" t="s">
        <v>243</v>
      </c>
      <c r="C247" s="3">
        <v>272</v>
      </c>
      <c r="D247" s="3">
        <v>1</v>
      </c>
      <c r="E247" s="3">
        <v>4</v>
      </c>
      <c r="F247" s="3">
        <f t="shared" si="26"/>
        <v>267</v>
      </c>
      <c r="G247" s="3">
        <v>291</v>
      </c>
      <c r="H247" s="3">
        <f>F247-G247</f>
        <v>-24</v>
      </c>
      <c r="I247" s="21">
        <f t="shared" si="29"/>
        <v>8</v>
      </c>
    </row>
    <row r="248" spans="1:9" ht="13.5">
      <c r="A248" s="1">
        <v>6</v>
      </c>
      <c r="B248" s="2" t="s">
        <v>244</v>
      </c>
      <c r="C248" s="3">
        <v>45</v>
      </c>
      <c r="D248" s="3"/>
      <c r="E248" s="3"/>
      <c r="F248" s="3">
        <f t="shared" si="26"/>
        <v>45</v>
      </c>
      <c r="G248" s="3">
        <v>51</v>
      </c>
      <c r="H248" s="3">
        <f>F248-G248</f>
        <v>-6</v>
      </c>
      <c r="I248" s="21">
        <f t="shared" si="29"/>
        <v>2</v>
      </c>
    </row>
    <row r="249" spans="1:9" ht="13.5">
      <c r="A249" s="14" t="s">
        <v>464</v>
      </c>
      <c r="B249" s="15" t="s">
        <v>245</v>
      </c>
      <c r="C249" s="16">
        <f>SUM(C250:C258)</f>
        <v>1189</v>
      </c>
      <c r="D249" s="16">
        <f>SUM(D250:D258)</f>
        <v>2</v>
      </c>
      <c r="E249" s="16">
        <f>SUM(E250:E258)</f>
        <v>18</v>
      </c>
      <c r="F249" s="16">
        <f t="shared" si="26"/>
        <v>1169</v>
      </c>
      <c r="G249" s="16">
        <f>SUM(G250:G258)</f>
        <v>1486</v>
      </c>
      <c r="H249" s="16">
        <f>SUM(H250:H258)</f>
        <v>-317</v>
      </c>
      <c r="I249" s="23">
        <f>H249/-11502*3774</f>
        <v>104.01304121022432</v>
      </c>
    </row>
    <row r="250" spans="1:9" ht="13.5">
      <c r="A250" s="1">
        <v>1</v>
      </c>
      <c r="B250" s="2" t="s">
        <v>246</v>
      </c>
      <c r="C250" s="3">
        <v>78</v>
      </c>
      <c r="D250" s="3"/>
      <c r="E250" s="3">
        <v>3</v>
      </c>
      <c r="F250" s="3">
        <f t="shared" si="26"/>
        <v>75</v>
      </c>
      <c r="G250" s="3">
        <v>75</v>
      </c>
      <c r="H250" s="3">
        <v>0</v>
      </c>
      <c r="I250" s="21">
        <f>H250/317*-104</f>
        <v>0</v>
      </c>
    </row>
    <row r="251" spans="1:9" ht="13.5">
      <c r="A251" s="1">
        <v>2</v>
      </c>
      <c r="B251" s="2" t="s">
        <v>247</v>
      </c>
      <c r="C251" s="3">
        <v>67</v>
      </c>
      <c r="D251" s="3"/>
      <c r="E251" s="3">
        <v>4</v>
      </c>
      <c r="F251" s="3">
        <f t="shared" si="26"/>
        <v>63</v>
      </c>
      <c r="G251" s="3">
        <v>63</v>
      </c>
      <c r="H251" s="3">
        <v>0</v>
      </c>
      <c r="I251" s="21">
        <f aca="true" t="shared" si="30" ref="I251:I258">H251/317*-104</f>
        <v>0</v>
      </c>
    </row>
    <row r="252" spans="1:9" ht="13.5">
      <c r="A252" s="1">
        <v>3</v>
      </c>
      <c r="B252" s="2" t="s">
        <v>248</v>
      </c>
      <c r="C252" s="3">
        <v>39</v>
      </c>
      <c r="D252" s="3"/>
      <c r="E252" s="3"/>
      <c r="F252" s="3">
        <f t="shared" si="26"/>
        <v>39</v>
      </c>
      <c r="G252" s="3">
        <v>39</v>
      </c>
      <c r="H252" s="3">
        <v>0</v>
      </c>
      <c r="I252" s="21">
        <f t="shared" si="30"/>
        <v>0</v>
      </c>
    </row>
    <row r="253" spans="1:9" ht="13.5">
      <c r="A253" s="1">
        <v>4</v>
      </c>
      <c r="B253" s="2" t="s">
        <v>249</v>
      </c>
      <c r="C253" s="3">
        <v>220</v>
      </c>
      <c r="D253" s="3"/>
      <c r="E253" s="3">
        <v>5</v>
      </c>
      <c r="F253" s="3">
        <f t="shared" si="26"/>
        <v>215</v>
      </c>
      <c r="G253" s="3">
        <v>219</v>
      </c>
      <c r="H253" s="3">
        <f aca="true" t="shared" si="31" ref="H253:H258">F253-G253</f>
        <v>-4</v>
      </c>
      <c r="I253" s="21">
        <f t="shared" si="30"/>
        <v>1.3123028391167193</v>
      </c>
    </row>
    <row r="254" spans="1:9" ht="13.5">
      <c r="A254" s="1">
        <v>5</v>
      </c>
      <c r="B254" s="2" t="s">
        <v>250</v>
      </c>
      <c r="C254" s="3">
        <v>48</v>
      </c>
      <c r="D254" s="3"/>
      <c r="E254" s="3"/>
      <c r="F254" s="3">
        <f t="shared" si="26"/>
        <v>48</v>
      </c>
      <c r="G254" s="3">
        <v>48</v>
      </c>
      <c r="H254" s="3">
        <v>0</v>
      </c>
      <c r="I254" s="21">
        <f t="shared" si="30"/>
        <v>0</v>
      </c>
    </row>
    <row r="255" spans="1:9" ht="13.5">
      <c r="A255" s="1">
        <v>6</v>
      </c>
      <c r="B255" s="2" t="s">
        <v>251</v>
      </c>
      <c r="C255" s="3">
        <v>36</v>
      </c>
      <c r="D255" s="3"/>
      <c r="E255" s="3"/>
      <c r="F255" s="3">
        <f t="shared" si="26"/>
        <v>36</v>
      </c>
      <c r="G255" s="3">
        <v>130</v>
      </c>
      <c r="H255" s="3">
        <f t="shared" si="31"/>
        <v>-94</v>
      </c>
      <c r="I255" s="21">
        <f t="shared" si="30"/>
        <v>30.839116719242902</v>
      </c>
    </row>
    <row r="256" spans="1:9" ht="13.5">
      <c r="A256" s="1">
        <v>7</v>
      </c>
      <c r="B256" s="2" t="s">
        <v>252</v>
      </c>
      <c r="C256" s="3">
        <v>19</v>
      </c>
      <c r="D256" s="3"/>
      <c r="E256" s="3"/>
      <c r="F256" s="3">
        <f t="shared" si="26"/>
        <v>19</v>
      </c>
      <c r="G256" s="3">
        <v>19</v>
      </c>
      <c r="H256" s="3">
        <v>0</v>
      </c>
      <c r="I256" s="21">
        <f t="shared" si="30"/>
        <v>0</v>
      </c>
    </row>
    <row r="257" spans="1:9" ht="13.5">
      <c r="A257" s="1">
        <v>8</v>
      </c>
      <c r="B257" s="2" t="s">
        <v>253</v>
      </c>
      <c r="C257" s="3">
        <v>247</v>
      </c>
      <c r="D257" s="3">
        <v>1</v>
      </c>
      <c r="E257" s="3">
        <v>4</v>
      </c>
      <c r="F257" s="3">
        <f t="shared" si="26"/>
        <v>242</v>
      </c>
      <c r="G257" s="3">
        <v>335</v>
      </c>
      <c r="H257" s="3">
        <f t="shared" si="31"/>
        <v>-93</v>
      </c>
      <c r="I257" s="21">
        <f t="shared" si="30"/>
        <v>30.511041009463725</v>
      </c>
    </row>
    <row r="258" spans="1:9" ht="13.5">
      <c r="A258" s="1">
        <v>9</v>
      </c>
      <c r="B258" s="2" t="s">
        <v>254</v>
      </c>
      <c r="C258" s="3">
        <v>435</v>
      </c>
      <c r="D258" s="3">
        <v>1</v>
      </c>
      <c r="E258" s="3">
        <v>2</v>
      </c>
      <c r="F258" s="3">
        <f t="shared" si="26"/>
        <v>432</v>
      </c>
      <c r="G258" s="3">
        <v>558</v>
      </c>
      <c r="H258" s="3">
        <f t="shared" si="31"/>
        <v>-126</v>
      </c>
      <c r="I258" s="21">
        <f t="shared" si="30"/>
        <v>41.33753943217666</v>
      </c>
    </row>
    <row r="259" spans="1:9" ht="13.5">
      <c r="A259" s="14" t="s">
        <v>465</v>
      </c>
      <c r="B259" s="15" t="s">
        <v>255</v>
      </c>
      <c r="C259" s="16">
        <f>SUM(C260:C267)</f>
        <v>769</v>
      </c>
      <c r="D259" s="16">
        <f>SUM(D260:D267)</f>
        <v>2</v>
      </c>
      <c r="E259" s="16">
        <f>SUM(E260:E267)</f>
        <v>7</v>
      </c>
      <c r="F259" s="16">
        <f t="shared" si="26"/>
        <v>760</v>
      </c>
      <c r="G259" s="16">
        <f>SUM(G260:G267)</f>
        <v>1033</v>
      </c>
      <c r="H259" s="16">
        <f>SUM(H260:H267)</f>
        <v>-273</v>
      </c>
      <c r="I259" s="23">
        <f>H259/-11502*3774</f>
        <v>89.57589984350548</v>
      </c>
    </row>
    <row r="260" spans="1:9" ht="13.5">
      <c r="A260" s="1">
        <v>1</v>
      </c>
      <c r="B260" s="2" t="s">
        <v>256</v>
      </c>
      <c r="C260" s="3">
        <v>52</v>
      </c>
      <c r="D260" s="3"/>
      <c r="E260" s="3"/>
      <c r="F260" s="3">
        <f t="shared" si="26"/>
        <v>52</v>
      </c>
      <c r="G260" s="3">
        <v>194</v>
      </c>
      <c r="H260" s="3">
        <f aca="true" t="shared" si="32" ref="H260:H267">F260-G260</f>
        <v>-142</v>
      </c>
      <c r="I260" s="21">
        <f>H260/273*-90</f>
        <v>46.81318681318682</v>
      </c>
    </row>
    <row r="261" spans="1:9" ht="13.5">
      <c r="A261" s="1">
        <v>2</v>
      </c>
      <c r="B261" s="2" t="s">
        <v>257</v>
      </c>
      <c r="C261" s="3">
        <v>57</v>
      </c>
      <c r="D261" s="3">
        <v>1</v>
      </c>
      <c r="E261" s="3">
        <v>1</v>
      </c>
      <c r="F261" s="3">
        <f t="shared" si="26"/>
        <v>55</v>
      </c>
      <c r="G261" s="3">
        <v>69</v>
      </c>
      <c r="H261" s="3">
        <f t="shared" si="32"/>
        <v>-14</v>
      </c>
      <c r="I261" s="21">
        <f aca="true" t="shared" si="33" ref="I261:I267">H261/273*-90</f>
        <v>4.615384615384615</v>
      </c>
    </row>
    <row r="262" spans="1:9" ht="13.5">
      <c r="A262" s="1">
        <v>3</v>
      </c>
      <c r="B262" s="2" t="s">
        <v>258</v>
      </c>
      <c r="C262" s="3">
        <v>67</v>
      </c>
      <c r="D262" s="3"/>
      <c r="E262" s="3"/>
      <c r="F262" s="3">
        <f t="shared" si="26"/>
        <v>67</v>
      </c>
      <c r="G262" s="3">
        <v>129</v>
      </c>
      <c r="H262" s="3">
        <f t="shared" si="32"/>
        <v>-62</v>
      </c>
      <c r="I262" s="21">
        <f t="shared" si="33"/>
        <v>20.439560439560438</v>
      </c>
    </row>
    <row r="263" spans="1:9" ht="13.5">
      <c r="A263" s="1">
        <v>4</v>
      </c>
      <c r="B263" s="2" t="s">
        <v>259</v>
      </c>
      <c r="C263" s="3">
        <v>64</v>
      </c>
      <c r="D263" s="3"/>
      <c r="E263" s="3">
        <v>1</v>
      </c>
      <c r="F263" s="3">
        <f t="shared" si="26"/>
        <v>63</v>
      </c>
      <c r="G263" s="3">
        <v>63</v>
      </c>
      <c r="H263" s="3">
        <v>0</v>
      </c>
      <c r="I263" s="21">
        <f t="shared" si="33"/>
        <v>0</v>
      </c>
    </row>
    <row r="264" spans="1:9" ht="13.5">
      <c r="A264" s="1">
        <v>5</v>
      </c>
      <c r="B264" s="2" t="s">
        <v>260</v>
      </c>
      <c r="C264" s="3">
        <v>53</v>
      </c>
      <c r="D264" s="3"/>
      <c r="E264" s="3"/>
      <c r="F264" s="3">
        <f aca="true" t="shared" si="34" ref="F264:F327">C264-E264-D264</f>
        <v>53</v>
      </c>
      <c r="G264" s="3">
        <v>57</v>
      </c>
      <c r="H264" s="3">
        <f t="shared" si="32"/>
        <v>-4</v>
      </c>
      <c r="I264" s="21">
        <f t="shared" si="33"/>
        <v>1.3186813186813187</v>
      </c>
    </row>
    <row r="265" spans="1:9" ht="13.5">
      <c r="A265" s="1">
        <v>6</v>
      </c>
      <c r="B265" s="2" t="s">
        <v>261</v>
      </c>
      <c r="C265" s="3">
        <v>60</v>
      </c>
      <c r="D265" s="3"/>
      <c r="E265" s="3"/>
      <c r="F265" s="3">
        <f t="shared" si="34"/>
        <v>60</v>
      </c>
      <c r="G265" s="3">
        <v>111</v>
      </c>
      <c r="H265" s="3">
        <f t="shared" si="32"/>
        <v>-51</v>
      </c>
      <c r="I265" s="21">
        <f t="shared" si="33"/>
        <v>16.813186813186814</v>
      </c>
    </row>
    <row r="266" spans="1:9" ht="13.5">
      <c r="A266" s="1">
        <v>7</v>
      </c>
      <c r="B266" s="2" t="s">
        <v>262</v>
      </c>
      <c r="C266" s="3">
        <v>332</v>
      </c>
      <c r="D266" s="3">
        <v>1</v>
      </c>
      <c r="E266" s="3">
        <v>4</v>
      </c>
      <c r="F266" s="3">
        <f t="shared" si="34"/>
        <v>327</v>
      </c>
      <c r="G266" s="3">
        <v>327</v>
      </c>
      <c r="H266" s="3">
        <v>0</v>
      </c>
      <c r="I266" s="21">
        <f t="shared" si="33"/>
        <v>0</v>
      </c>
    </row>
    <row r="267" spans="1:9" ht="13.5">
      <c r="A267" s="1">
        <v>8</v>
      </c>
      <c r="B267" s="2" t="s">
        <v>263</v>
      </c>
      <c r="C267" s="3">
        <v>84</v>
      </c>
      <c r="D267" s="3"/>
      <c r="E267" s="3">
        <v>1</v>
      </c>
      <c r="F267" s="3">
        <f t="shared" si="34"/>
        <v>83</v>
      </c>
      <c r="G267" s="3">
        <v>83</v>
      </c>
      <c r="H267" s="3">
        <f t="shared" si="32"/>
        <v>0</v>
      </c>
      <c r="I267" s="21">
        <f t="shared" si="33"/>
        <v>0</v>
      </c>
    </row>
    <row r="268" spans="1:9" ht="13.5">
      <c r="A268" s="14" t="s">
        <v>466</v>
      </c>
      <c r="B268" s="15" t="s">
        <v>264</v>
      </c>
      <c r="C268" s="16">
        <f>SUM(C269:C284)</f>
        <v>746</v>
      </c>
      <c r="D268" s="16">
        <f>SUM(D269:D284)</f>
        <v>2</v>
      </c>
      <c r="E268" s="16">
        <f>SUM(E269:E284)</f>
        <v>2</v>
      </c>
      <c r="F268" s="16">
        <f t="shared" si="34"/>
        <v>742</v>
      </c>
      <c r="G268" s="16">
        <f>SUM(G269:G284)</f>
        <v>970</v>
      </c>
      <c r="H268" s="16">
        <f>SUM(H269:H284)</f>
        <v>-228</v>
      </c>
      <c r="I268" s="23">
        <f>H268/-11502*3774</f>
        <v>74.81064162754303</v>
      </c>
    </row>
    <row r="269" spans="1:9" ht="13.5">
      <c r="A269" s="1">
        <v>1</v>
      </c>
      <c r="B269" s="2" t="s">
        <v>265</v>
      </c>
      <c r="C269" s="3">
        <v>68</v>
      </c>
      <c r="D269" s="3"/>
      <c r="E269" s="3"/>
      <c r="F269" s="3">
        <f t="shared" si="34"/>
        <v>68</v>
      </c>
      <c r="G269" s="3">
        <v>89</v>
      </c>
      <c r="H269" s="3">
        <f aca="true" t="shared" si="35" ref="H269:H284">F269-G269</f>
        <v>-21</v>
      </c>
      <c r="I269" s="21">
        <f>H269/228*-75</f>
        <v>6.907894736842105</v>
      </c>
    </row>
    <row r="270" spans="1:9" ht="13.5">
      <c r="A270" s="1">
        <v>2</v>
      </c>
      <c r="B270" s="2" t="s">
        <v>266</v>
      </c>
      <c r="C270" s="3">
        <v>37</v>
      </c>
      <c r="D270" s="3"/>
      <c r="E270" s="3"/>
      <c r="F270" s="3">
        <f t="shared" si="34"/>
        <v>37</v>
      </c>
      <c r="G270" s="3">
        <v>49</v>
      </c>
      <c r="H270" s="3">
        <f t="shared" si="35"/>
        <v>-12</v>
      </c>
      <c r="I270" s="21">
        <f aca="true" t="shared" si="36" ref="I270:I284">H270/228*-75</f>
        <v>3.9473684210526314</v>
      </c>
    </row>
    <row r="271" spans="1:9" ht="13.5">
      <c r="A271" s="1">
        <v>3</v>
      </c>
      <c r="B271" s="2" t="s">
        <v>267</v>
      </c>
      <c r="C271" s="3">
        <v>5</v>
      </c>
      <c r="D271" s="3"/>
      <c r="E271" s="3"/>
      <c r="F271" s="3">
        <f t="shared" si="34"/>
        <v>5</v>
      </c>
      <c r="G271" s="3">
        <v>48</v>
      </c>
      <c r="H271" s="3">
        <f t="shared" si="35"/>
        <v>-43</v>
      </c>
      <c r="I271" s="21">
        <f t="shared" si="36"/>
        <v>14.144736842105264</v>
      </c>
    </row>
    <row r="272" spans="1:9" ht="13.5">
      <c r="A272" s="1">
        <v>4</v>
      </c>
      <c r="B272" s="2" t="s">
        <v>268</v>
      </c>
      <c r="C272" s="3">
        <v>73</v>
      </c>
      <c r="D272" s="3"/>
      <c r="E272" s="3"/>
      <c r="F272" s="3">
        <f t="shared" si="34"/>
        <v>73</v>
      </c>
      <c r="G272" s="3">
        <v>77</v>
      </c>
      <c r="H272" s="3">
        <f t="shared" si="35"/>
        <v>-4</v>
      </c>
      <c r="I272" s="21">
        <f t="shared" si="36"/>
        <v>1.3157894736842104</v>
      </c>
    </row>
    <row r="273" spans="1:9" ht="13.5">
      <c r="A273" s="1">
        <v>5</v>
      </c>
      <c r="B273" s="2" t="s">
        <v>269</v>
      </c>
      <c r="C273" s="3">
        <v>27</v>
      </c>
      <c r="D273" s="3"/>
      <c r="E273" s="3"/>
      <c r="F273" s="3">
        <f t="shared" si="34"/>
        <v>27</v>
      </c>
      <c r="G273" s="3">
        <v>27</v>
      </c>
      <c r="H273" s="3">
        <v>0</v>
      </c>
      <c r="I273" s="21">
        <f t="shared" si="36"/>
        <v>0</v>
      </c>
    </row>
    <row r="274" spans="1:9" ht="13.5">
      <c r="A274" s="1">
        <v>6</v>
      </c>
      <c r="B274" s="2" t="s">
        <v>270</v>
      </c>
      <c r="C274" s="3">
        <v>51</v>
      </c>
      <c r="D274" s="3">
        <v>1</v>
      </c>
      <c r="E274" s="3"/>
      <c r="F274" s="3">
        <f t="shared" si="34"/>
        <v>50</v>
      </c>
      <c r="G274" s="3">
        <v>50</v>
      </c>
      <c r="H274" s="3">
        <v>0</v>
      </c>
      <c r="I274" s="21">
        <f t="shared" si="36"/>
        <v>0</v>
      </c>
    </row>
    <row r="275" spans="1:9" ht="13.5">
      <c r="A275" s="1">
        <v>7</v>
      </c>
      <c r="B275" s="2" t="s">
        <v>271</v>
      </c>
      <c r="C275" s="3">
        <v>32</v>
      </c>
      <c r="D275" s="3"/>
      <c r="E275" s="3"/>
      <c r="F275" s="3">
        <f t="shared" si="34"/>
        <v>32</v>
      </c>
      <c r="G275" s="3">
        <v>77</v>
      </c>
      <c r="H275" s="3">
        <f t="shared" si="35"/>
        <v>-45</v>
      </c>
      <c r="I275" s="21">
        <f t="shared" si="36"/>
        <v>14.802631578947368</v>
      </c>
    </row>
    <row r="276" spans="1:9" ht="13.5">
      <c r="A276" s="1">
        <v>8</v>
      </c>
      <c r="B276" s="2" t="s">
        <v>272</v>
      </c>
      <c r="C276" s="3">
        <v>23</v>
      </c>
      <c r="D276" s="3"/>
      <c r="E276" s="3"/>
      <c r="F276" s="3">
        <f t="shared" si="34"/>
        <v>23</v>
      </c>
      <c r="G276" s="3">
        <v>23</v>
      </c>
      <c r="H276" s="3">
        <v>0</v>
      </c>
      <c r="I276" s="21">
        <f t="shared" si="36"/>
        <v>0</v>
      </c>
    </row>
    <row r="277" spans="1:9" ht="13.5">
      <c r="A277" s="1">
        <v>9</v>
      </c>
      <c r="B277" s="2" t="s">
        <v>273</v>
      </c>
      <c r="C277" s="3">
        <v>18</v>
      </c>
      <c r="D277" s="3"/>
      <c r="E277" s="3"/>
      <c r="F277" s="3">
        <f t="shared" si="34"/>
        <v>18</v>
      </c>
      <c r="G277" s="3">
        <v>23</v>
      </c>
      <c r="H277" s="3">
        <f t="shared" si="35"/>
        <v>-5</v>
      </c>
      <c r="I277" s="21">
        <f t="shared" si="36"/>
        <v>1.644736842105263</v>
      </c>
    </row>
    <row r="278" spans="1:9" ht="13.5">
      <c r="A278" s="1">
        <v>10</v>
      </c>
      <c r="B278" s="2" t="s">
        <v>274</v>
      </c>
      <c r="C278" s="3">
        <v>58</v>
      </c>
      <c r="D278" s="3"/>
      <c r="E278" s="3"/>
      <c r="F278" s="3">
        <f t="shared" si="34"/>
        <v>58</v>
      </c>
      <c r="G278" s="3">
        <v>92</v>
      </c>
      <c r="H278" s="3">
        <f t="shared" si="35"/>
        <v>-34</v>
      </c>
      <c r="I278" s="21">
        <f t="shared" si="36"/>
        <v>11.18421052631579</v>
      </c>
    </row>
    <row r="279" spans="1:9" ht="13.5">
      <c r="A279" s="1">
        <v>11</v>
      </c>
      <c r="B279" s="2" t="s">
        <v>275</v>
      </c>
      <c r="C279" s="3">
        <v>43</v>
      </c>
      <c r="D279" s="3"/>
      <c r="E279" s="3"/>
      <c r="F279" s="3">
        <f t="shared" si="34"/>
        <v>43</v>
      </c>
      <c r="G279" s="3">
        <v>43</v>
      </c>
      <c r="H279" s="3">
        <f t="shared" si="35"/>
        <v>0</v>
      </c>
      <c r="I279" s="21">
        <f t="shared" si="36"/>
        <v>0</v>
      </c>
    </row>
    <row r="280" spans="1:9" ht="13.5">
      <c r="A280" s="1">
        <v>12</v>
      </c>
      <c r="B280" s="2" t="s">
        <v>276</v>
      </c>
      <c r="C280" s="3">
        <v>40</v>
      </c>
      <c r="D280" s="3"/>
      <c r="E280" s="3"/>
      <c r="F280" s="3">
        <f t="shared" si="34"/>
        <v>40</v>
      </c>
      <c r="G280" s="3">
        <v>40</v>
      </c>
      <c r="H280" s="3">
        <v>0</v>
      </c>
      <c r="I280" s="21">
        <f t="shared" si="36"/>
        <v>0</v>
      </c>
    </row>
    <row r="281" spans="1:9" ht="13.5">
      <c r="A281" s="1">
        <v>13</v>
      </c>
      <c r="B281" s="2" t="s">
        <v>277</v>
      </c>
      <c r="C281" s="3">
        <v>3</v>
      </c>
      <c r="D281" s="3"/>
      <c r="E281" s="3"/>
      <c r="F281" s="3">
        <f t="shared" si="34"/>
        <v>3</v>
      </c>
      <c r="G281" s="3">
        <v>3</v>
      </c>
      <c r="H281" s="3">
        <f t="shared" si="35"/>
        <v>0</v>
      </c>
      <c r="I281" s="21">
        <f t="shared" si="36"/>
        <v>0</v>
      </c>
    </row>
    <row r="282" spans="1:9" ht="13.5">
      <c r="A282" s="1">
        <v>14</v>
      </c>
      <c r="B282" s="2" t="s">
        <v>278</v>
      </c>
      <c r="C282" s="3"/>
      <c r="D282" s="3"/>
      <c r="E282" s="3"/>
      <c r="F282" s="3">
        <f t="shared" si="34"/>
        <v>0</v>
      </c>
      <c r="G282" s="3"/>
      <c r="H282" s="3">
        <f t="shared" si="35"/>
        <v>0</v>
      </c>
      <c r="I282" s="21">
        <f t="shared" si="36"/>
        <v>0</v>
      </c>
    </row>
    <row r="283" spans="1:9" ht="13.5">
      <c r="A283" s="1">
        <v>15</v>
      </c>
      <c r="B283" s="2" t="s">
        <v>279</v>
      </c>
      <c r="C283" s="3"/>
      <c r="D283" s="3"/>
      <c r="E283" s="3"/>
      <c r="F283" s="3"/>
      <c r="G283" s="3"/>
      <c r="H283" s="3">
        <f t="shared" si="35"/>
        <v>0</v>
      </c>
      <c r="I283" s="21">
        <f t="shared" si="36"/>
        <v>0</v>
      </c>
    </row>
    <row r="284" spans="1:9" ht="13.5">
      <c r="A284" s="1">
        <v>16</v>
      </c>
      <c r="B284" s="2" t="s">
        <v>280</v>
      </c>
      <c r="C284" s="3">
        <v>268</v>
      </c>
      <c r="D284" s="3">
        <v>1</v>
      </c>
      <c r="E284" s="3">
        <v>2</v>
      </c>
      <c r="F284" s="3">
        <f t="shared" si="34"/>
        <v>265</v>
      </c>
      <c r="G284" s="3">
        <v>329</v>
      </c>
      <c r="H284" s="3">
        <f t="shared" si="35"/>
        <v>-64</v>
      </c>
      <c r="I284" s="21">
        <f t="shared" si="36"/>
        <v>21.052631578947366</v>
      </c>
    </row>
    <row r="285" spans="1:9" ht="13.5">
      <c r="A285" s="14" t="s">
        <v>467</v>
      </c>
      <c r="B285" s="15" t="s">
        <v>281</v>
      </c>
      <c r="C285" s="16">
        <f>SUM(C286:C295)</f>
        <v>562</v>
      </c>
      <c r="D285" s="16">
        <f>SUM(D286:D295)</f>
        <v>0</v>
      </c>
      <c r="E285" s="16">
        <f>SUM(E286:E295)</f>
        <v>4</v>
      </c>
      <c r="F285" s="16">
        <f t="shared" si="34"/>
        <v>558</v>
      </c>
      <c r="G285" s="16">
        <f>SUM(G286:G295)</f>
        <v>1078</v>
      </c>
      <c r="H285" s="16">
        <f>SUM(H286:H295)</f>
        <v>-520</v>
      </c>
      <c r="I285" s="23">
        <f>H285/-11502*3774</f>
        <v>170.6207616066771</v>
      </c>
    </row>
    <row r="286" spans="1:9" ht="13.5">
      <c r="A286" s="1">
        <v>1</v>
      </c>
      <c r="B286" s="2" t="s">
        <v>282</v>
      </c>
      <c r="C286" s="3">
        <v>44</v>
      </c>
      <c r="D286" s="3"/>
      <c r="E286" s="3"/>
      <c r="F286" s="3">
        <f t="shared" si="34"/>
        <v>44</v>
      </c>
      <c r="G286" s="18">
        <v>147</v>
      </c>
      <c r="H286" s="3">
        <f aca="true" t="shared" si="37" ref="H286:H295">F286-G286</f>
        <v>-103</v>
      </c>
      <c r="I286" s="21">
        <f>H286/520*-171</f>
        <v>33.871153846153845</v>
      </c>
    </row>
    <row r="287" spans="1:9" ht="13.5">
      <c r="A287" s="1">
        <v>2</v>
      </c>
      <c r="B287" s="2" t="s">
        <v>283</v>
      </c>
      <c r="C287" s="3">
        <v>54</v>
      </c>
      <c r="D287" s="3"/>
      <c r="E287" s="3"/>
      <c r="F287" s="3">
        <f t="shared" si="34"/>
        <v>54</v>
      </c>
      <c r="G287" s="18">
        <v>120</v>
      </c>
      <c r="H287" s="3">
        <f t="shared" si="37"/>
        <v>-66</v>
      </c>
      <c r="I287" s="21">
        <f aca="true" t="shared" si="38" ref="I287:I295">H287/520*-171</f>
        <v>21.703846153846154</v>
      </c>
    </row>
    <row r="288" spans="1:9" ht="13.5">
      <c r="A288" s="1">
        <v>3</v>
      </c>
      <c r="B288" s="2" t="s">
        <v>284</v>
      </c>
      <c r="C288" s="3">
        <v>18</v>
      </c>
      <c r="D288" s="3"/>
      <c r="E288" s="3"/>
      <c r="F288" s="3">
        <f t="shared" si="34"/>
        <v>18</v>
      </c>
      <c r="G288" s="18">
        <v>47</v>
      </c>
      <c r="H288" s="3">
        <f t="shared" si="37"/>
        <v>-29</v>
      </c>
      <c r="I288" s="21">
        <f t="shared" si="38"/>
        <v>9.536538461538463</v>
      </c>
    </row>
    <row r="289" spans="1:9" ht="13.5">
      <c r="A289" s="1">
        <v>4</v>
      </c>
      <c r="B289" s="2" t="s">
        <v>285</v>
      </c>
      <c r="C289" s="3">
        <v>20</v>
      </c>
      <c r="D289" s="3"/>
      <c r="E289" s="3">
        <v>1</v>
      </c>
      <c r="F289" s="3">
        <f t="shared" si="34"/>
        <v>19</v>
      </c>
      <c r="G289" s="18">
        <v>58</v>
      </c>
      <c r="H289" s="3">
        <f t="shared" si="37"/>
        <v>-39</v>
      </c>
      <c r="I289" s="21">
        <f t="shared" si="38"/>
        <v>12.825</v>
      </c>
    </row>
    <row r="290" spans="1:9" ht="13.5">
      <c r="A290" s="1">
        <v>5</v>
      </c>
      <c r="B290" s="2" t="s">
        <v>286</v>
      </c>
      <c r="C290" s="3">
        <v>23</v>
      </c>
      <c r="D290" s="3"/>
      <c r="E290" s="3">
        <v>1</v>
      </c>
      <c r="F290" s="3">
        <f t="shared" si="34"/>
        <v>22</v>
      </c>
      <c r="G290" s="18">
        <v>22</v>
      </c>
      <c r="H290" s="3">
        <v>0</v>
      </c>
      <c r="I290" s="21">
        <f t="shared" si="38"/>
        <v>0</v>
      </c>
    </row>
    <row r="291" spans="1:9" ht="13.5">
      <c r="A291" s="1">
        <v>6</v>
      </c>
      <c r="B291" s="2" t="s">
        <v>287</v>
      </c>
      <c r="C291" s="3">
        <v>1</v>
      </c>
      <c r="D291" s="3"/>
      <c r="E291" s="3"/>
      <c r="F291" s="3">
        <f t="shared" si="34"/>
        <v>1</v>
      </c>
      <c r="G291" s="18">
        <v>29</v>
      </c>
      <c r="H291" s="3">
        <f t="shared" si="37"/>
        <v>-28</v>
      </c>
      <c r="I291" s="21">
        <f t="shared" si="38"/>
        <v>9.207692307692309</v>
      </c>
    </row>
    <row r="292" spans="1:9" ht="13.5">
      <c r="A292" s="1">
        <v>7</v>
      </c>
      <c r="B292" s="2" t="s">
        <v>288</v>
      </c>
      <c r="C292" s="3">
        <v>1</v>
      </c>
      <c r="D292" s="3"/>
      <c r="E292" s="3"/>
      <c r="F292" s="3">
        <f t="shared" si="34"/>
        <v>1</v>
      </c>
      <c r="G292" s="18">
        <v>1</v>
      </c>
      <c r="H292" s="3">
        <f t="shared" si="37"/>
        <v>0</v>
      </c>
      <c r="I292" s="21">
        <f t="shared" si="38"/>
        <v>0</v>
      </c>
    </row>
    <row r="293" spans="1:9" ht="13.5">
      <c r="A293" s="1">
        <v>8</v>
      </c>
      <c r="B293" s="2" t="s">
        <v>289</v>
      </c>
      <c r="C293" s="3"/>
      <c r="D293" s="3"/>
      <c r="E293" s="3"/>
      <c r="F293" s="3">
        <f t="shared" si="34"/>
        <v>0</v>
      </c>
      <c r="G293" s="18">
        <v>0</v>
      </c>
      <c r="H293" s="3">
        <f t="shared" si="37"/>
        <v>0</v>
      </c>
      <c r="I293" s="21">
        <f t="shared" si="38"/>
        <v>0</v>
      </c>
    </row>
    <row r="294" spans="1:9" ht="13.5">
      <c r="A294" s="1">
        <v>9</v>
      </c>
      <c r="B294" s="2" t="s">
        <v>290</v>
      </c>
      <c r="C294" s="3">
        <v>308</v>
      </c>
      <c r="D294" s="3"/>
      <c r="E294" s="3">
        <v>1</v>
      </c>
      <c r="F294" s="3">
        <f t="shared" si="34"/>
        <v>307</v>
      </c>
      <c r="G294" s="18">
        <v>562</v>
      </c>
      <c r="H294" s="3">
        <f t="shared" si="37"/>
        <v>-255</v>
      </c>
      <c r="I294" s="21">
        <f t="shared" si="38"/>
        <v>83.85576923076923</v>
      </c>
    </row>
    <row r="295" spans="1:9" ht="13.5">
      <c r="A295" s="1">
        <v>10</v>
      </c>
      <c r="B295" s="2" t="s">
        <v>291</v>
      </c>
      <c r="C295" s="3">
        <v>93</v>
      </c>
      <c r="D295" s="3"/>
      <c r="E295" s="3">
        <v>1</v>
      </c>
      <c r="F295" s="3">
        <f t="shared" si="34"/>
        <v>92</v>
      </c>
      <c r="G295" s="3">
        <v>92</v>
      </c>
      <c r="H295" s="3">
        <f t="shared" si="37"/>
        <v>0</v>
      </c>
      <c r="I295" s="21">
        <f t="shared" si="38"/>
        <v>0</v>
      </c>
    </row>
    <row r="296" spans="1:9" ht="13.5">
      <c r="A296" s="14" t="s">
        <v>468</v>
      </c>
      <c r="B296" s="15" t="s">
        <v>292</v>
      </c>
      <c r="C296" s="16">
        <f>SUM(C297:C310)</f>
        <v>552</v>
      </c>
      <c r="D296" s="16">
        <f>SUM(D297:D310)</f>
        <v>1</v>
      </c>
      <c r="E296" s="16">
        <f>SUM(E297:E310)</f>
        <v>6</v>
      </c>
      <c r="F296" s="16">
        <f t="shared" si="34"/>
        <v>545</v>
      </c>
      <c r="G296" s="16">
        <f>SUM(G297:G310)</f>
        <v>667</v>
      </c>
      <c r="H296" s="16">
        <f>SUM(H297:H310)</f>
        <v>-122</v>
      </c>
      <c r="I296" s="23">
        <f>H296/-11502*3774</f>
        <v>40.0302556077204</v>
      </c>
    </row>
    <row r="297" spans="1:9" ht="13.5">
      <c r="A297" s="1">
        <v>1</v>
      </c>
      <c r="B297" s="2" t="s">
        <v>293</v>
      </c>
      <c r="C297" s="3">
        <v>32</v>
      </c>
      <c r="D297" s="3"/>
      <c r="E297" s="3"/>
      <c r="F297" s="3">
        <f t="shared" si="34"/>
        <v>32</v>
      </c>
      <c r="G297" s="3">
        <v>112</v>
      </c>
      <c r="H297" s="3">
        <f aca="true" t="shared" si="39" ref="H297:H309">F297-G297</f>
        <v>-80</v>
      </c>
      <c r="I297" s="21">
        <f>H297/-122*40</f>
        <v>26.22950819672131</v>
      </c>
    </row>
    <row r="298" spans="1:9" ht="13.5">
      <c r="A298" s="1">
        <v>2</v>
      </c>
      <c r="B298" s="2" t="s">
        <v>294</v>
      </c>
      <c r="C298" s="3">
        <v>71</v>
      </c>
      <c r="D298" s="3"/>
      <c r="E298" s="3">
        <v>2</v>
      </c>
      <c r="F298" s="3">
        <f t="shared" si="34"/>
        <v>69</v>
      </c>
      <c r="G298" s="3">
        <v>69</v>
      </c>
      <c r="H298" s="3">
        <v>0</v>
      </c>
      <c r="I298" s="21">
        <f>H298/-122*40</f>
        <v>0</v>
      </c>
    </row>
    <row r="299" spans="1:9" ht="13.5">
      <c r="A299" s="1">
        <v>3</v>
      </c>
      <c r="B299" s="2" t="s">
        <v>295</v>
      </c>
      <c r="C299" s="3">
        <v>99</v>
      </c>
      <c r="D299" s="3">
        <v>1</v>
      </c>
      <c r="E299" s="3"/>
      <c r="F299" s="3">
        <f t="shared" si="34"/>
        <v>98</v>
      </c>
      <c r="G299" s="3">
        <v>108</v>
      </c>
      <c r="H299" s="3">
        <f t="shared" si="39"/>
        <v>-10</v>
      </c>
      <c r="I299" s="21">
        <f aca="true" t="shared" si="40" ref="I299:I310">H299/-122*40</f>
        <v>3.2786885245901636</v>
      </c>
    </row>
    <row r="300" spans="1:9" ht="13.5">
      <c r="A300" s="1">
        <v>4</v>
      </c>
      <c r="B300" s="2" t="s">
        <v>296</v>
      </c>
      <c r="C300" s="3">
        <v>40</v>
      </c>
      <c r="D300" s="3"/>
      <c r="E300" s="3"/>
      <c r="F300" s="3">
        <f t="shared" si="34"/>
        <v>40</v>
      </c>
      <c r="G300" s="3">
        <v>43</v>
      </c>
      <c r="H300" s="3">
        <f t="shared" si="39"/>
        <v>-3</v>
      </c>
      <c r="I300" s="21">
        <f t="shared" si="40"/>
        <v>0.9836065573770492</v>
      </c>
    </row>
    <row r="301" spans="1:9" ht="13.5">
      <c r="A301" s="1">
        <v>5</v>
      </c>
      <c r="B301" s="2" t="s">
        <v>297</v>
      </c>
      <c r="C301" s="3">
        <v>41</v>
      </c>
      <c r="D301" s="3"/>
      <c r="E301" s="3"/>
      <c r="F301" s="3">
        <f t="shared" si="34"/>
        <v>41</v>
      </c>
      <c r="G301" s="3">
        <v>70</v>
      </c>
      <c r="H301" s="3">
        <f t="shared" si="39"/>
        <v>-29</v>
      </c>
      <c r="I301" s="21">
        <f t="shared" si="40"/>
        <v>9.508196721311474</v>
      </c>
    </row>
    <row r="302" spans="1:9" ht="13.5">
      <c r="A302" s="1">
        <v>6</v>
      </c>
      <c r="B302" s="2" t="s">
        <v>298</v>
      </c>
      <c r="C302" s="3">
        <v>5</v>
      </c>
      <c r="D302" s="3"/>
      <c r="E302" s="3"/>
      <c r="F302" s="3">
        <f t="shared" si="34"/>
        <v>5</v>
      </c>
      <c r="G302" s="3">
        <v>5</v>
      </c>
      <c r="H302" s="3">
        <f t="shared" si="39"/>
        <v>0</v>
      </c>
      <c r="I302" s="21">
        <f t="shared" si="40"/>
        <v>0</v>
      </c>
    </row>
    <row r="303" spans="1:9" ht="13.5">
      <c r="A303" s="1">
        <v>7</v>
      </c>
      <c r="B303" s="2" t="s">
        <v>299</v>
      </c>
      <c r="C303" s="3"/>
      <c r="D303" s="3"/>
      <c r="E303" s="3"/>
      <c r="F303" s="3">
        <f t="shared" si="34"/>
        <v>0</v>
      </c>
      <c r="G303" s="3"/>
      <c r="H303" s="3">
        <f t="shared" si="39"/>
        <v>0</v>
      </c>
      <c r="I303" s="21">
        <f t="shared" si="40"/>
        <v>0</v>
      </c>
    </row>
    <row r="304" spans="1:9" ht="13.5">
      <c r="A304" s="1">
        <v>8</v>
      </c>
      <c r="B304" s="2" t="s">
        <v>300</v>
      </c>
      <c r="C304" s="3">
        <v>1</v>
      </c>
      <c r="D304" s="3"/>
      <c r="E304" s="3"/>
      <c r="F304" s="3">
        <f t="shared" si="34"/>
        <v>1</v>
      </c>
      <c r="G304" s="3">
        <v>1</v>
      </c>
      <c r="H304" s="3">
        <f t="shared" si="39"/>
        <v>0</v>
      </c>
      <c r="I304" s="21">
        <f t="shared" si="40"/>
        <v>0</v>
      </c>
    </row>
    <row r="305" spans="1:9" ht="13.5">
      <c r="A305" s="1">
        <v>9</v>
      </c>
      <c r="B305" s="2" t="s">
        <v>301</v>
      </c>
      <c r="C305" s="3"/>
      <c r="D305" s="3"/>
      <c r="E305" s="3"/>
      <c r="F305" s="3">
        <f t="shared" si="34"/>
        <v>0</v>
      </c>
      <c r="G305" s="3"/>
      <c r="H305" s="3">
        <f t="shared" si="39"/>
        <v>0</v>
      </c>
      <c r="I305" s="21">
        <f t="shared" si="40"/>
        <v>0</v>
      </c>
    </row>
    <row r="306" spans="1:9" ht="13.5">
      <c r="A306" s="1">
        <v>10</v>
      </c>
      <c r="B306" s="2" t="s">
        <v>302</v>
      </c>
      <c r="C306" s="3">
        <v>2</v>
      </c>
      <c r="D306" s="3"/>
      <c r="E306" s="3"/>
      <c r="F306" s="3">
        <f t="shared" si="34"/>
        <v>2</v>
      </c>
      <c r="G306" s="3">
        <v>2</v>
      </c>
      <c r="H306" s="3">
        <f t="shared" si="39"/>
        <v>0</v>
      </c>
      <c r="I306" s="21">
        <f t="shared" si="40"/>
        <v>0</v>
      </c>
    </row>
    <row r="307" spans="1:9" ht="13.5">
      <c r="A307" s="1">
        <v>11</v>
      </c>
      <c r="B307" s="2" t="s">
        <v>303</v>
      </c>
      <c r="C307" s="3">
        <v>3</v>
      </c>
      <c r="D307" s="3"/>
      <c r="E307" s="3"/>
      <c r="F307" s="3">
        <f t="shared" si="34"/>
        <v>3</v>
      </c>
      <c r="G307" s="3">
        <v>3</v>
      </c>
      <c r="H307" s="3">
        <f t="shared" si="39"/>
        <v>0</v>
      </c>
      <c r="I307" s="21">
        <f t="shared" si="40"/>
        <v>0</v>
      </c>
    </row>
    <row r="308" spans="1:9" ht="13.5">
      <c r="A308" s="1">
        <v>12</v>
      </c>
      <c r="B308" s="2" t="s">
        <v>304</v>
      </c>
      <c r="C308" s="3"/>
      <c r="D308" s="3"/>
      <c r="E308" s="3"/>
      <c r="F308" s="3">
        <f t="shared" si="34"/>
        <v>0</v>
      </c>
      <c r="G308" s="3"/>
      <c r="H308" s="3">
        <f t="shared" si="39"/>
        <v>0</v>
      </c>
      <c r="I308" s="21">
        <f t="shared" si="40"/>
        <v>0</v>
      </c>
    </row>
    <row r="309" spans="1:9" ht="13.5">
      <c r="A309" s="1">
        <v>13</v>
      </c>
      <c r="B309" s="2" t="s">
        <v>305</v>
      </c>
      <c r="C309" s="3"/>
      <c r="D309" s="3"/>
      <c r="E309" s="3"/>
      <c r="F309" s="3">
        <f t="shared" si="34"/>
        <v>0</v>
      </c>
      <c r="G309" s="3"/>
      <c r="H309" s="3">
        <f t="shared" si="39"/>
        <v>0</v>
      </c>
      <c r="I309" s="21">
        <f t="shared" si="40"/>
        <v>0</v>
      </c>
    </row>
    <row r="310" spans="1:9" ht="13.5">
      <c r="A310" s="1">
        <v>14</v>
      </c>
      <c r="B310" s="2" t="s">
        <v>306</v>
      </c>
      <c r="C310" s="3">
        <v>258</v>
      </c>
      <c r="D310" s="3"/>
      <c r="E310" s="3">
        <v>4</v>
      </c>
      <c r="F310" s="3">
        <f t="shared" si="34"/>
        <v>254</v>
      </c>
      <c r="G310" s="3">
        <v>254</v>
      </c>
      <c r="H310" s="3">
        <v>0</v>
      </c>
      <c r="I310" s="21">
        <f t="shared" si="40"/>
        <v>0</v>
      </c>
    </row>
    <row r="311" spans="1:9" ht="13.5">
      <c r="A311" s="14" t="s">
        <v>469</v>
      </c>
      <c r="B311" s="15" t="s">
        <v>307</v>
      </c>
      <c r="C311" s="16">
        <f>SUM(C312:C324)</f>
        <v>710</v>
      </c>
      <c r="D311" s="16">
        <f>SUM(D312:D324)</f>
        <v>0</v>
      </c>
      <c r="E311" s="16">
        <f>SUM(E312:E324)</f>
        <v>6</v>
      </c>
      <c r="F311" s="16">
        <f t="shared" si="34"/>
        <v>704</v>
      </c>
      <c r="G311" s="16">
        <f>SUM(G312:G324)</f>
        <v>976</v>
      </c>
      <c r="H311" s="16">
        <f>SUM(H312:H324)</f>
        <v>-272</v>
      </c>
      <c r="I311" s="23">
        <f>H311/-11502*3774</f>
        <v>89.24778299426187</v>
      </c>
    </row>
    <row r="312" spans="1:9" ht="13.5">
      <c r="A312" s="1">
        <v>1</v>
      </c>
      <c r="B312" s="2" t="s">
        <v>308</v>
      </c>
      <c r="C312" s="3">
        <v>57</v>
      </c>
      <c r="D312" s="3"/>
      <c r="E312" s="3"/>
      <c r="F312" s="3">
        <f t="shared" si="34"/>
        <v>57</v>
      </c>
      <c r="G312" s="3">
        <v>67</v>
      </c>
      <c r="H312" s="3">
        <f aca="true" t="shared" si="41" ref="H312:H324">F312-G312</f>
        <v>-10</v>
      </c>
      <c r="I312" s="21">
        <f>H312/272*-89</f>
        <v>3.2720588235294117</v>
      </c>
    </row>
    <row r="313" spans="1:9" ht="13.5">
      <c r="A313" s="1">
        <v>2</v>
      </c>
      <c r="B313" s="2" t="s">
        <v>309</v>
      </c>
      <c r="C313" s="3">
        <v>24</v>
      </c>
      <c r="D313" s="3"/>
      <c r="E313" s="3"/>
      <c r="F313" s="3">
        <f t="shared" si="34"/>
        <v>24</v>
      </c>
      <c r="G313" s="3">
        <v>70</v>
      </c>
      <c r="H313" s="3">
        <f t="shared" si="41"/>
        <v>-46</v>
      </c>
      <c r="I313" s="21">
        <f aca="true" t="shared" si="42" ref="I313:I324">H313/272*-89</f>
        <v>15.051470588235295</v>
      </c>
    </row>
    <row r="314" spans="1:9" ht="13.5">
      <c r="A314" s="1">
        <v>3</v>
      </c>
      <c r="B314" s="2" t="s">
        <v>310</v>
      </c>
      <c r="C314" s="3">
        <v>9</v>
      </c>
      <c r="D314" s="3"/>
      <c r="E314" s="3"/>
      <c r="F314" s="3">
        <f t="shared" si="34"/>
        <v>9</v>
      </c>
      <c r="G314" s="3">
        <v>52</v>
      </c>
      <c r="H314" s="3">
        <f t="shared" si="41"/>
        <v>-43</v>
      </c>
      <c r="I314" s="21">
        <f t="shared" si="42"/>
        <v>14.06985294117647</v>
      </c>
    </row>
    <row r="315" spans="1:9" ht="13.5">
      <c r="A315" s="1">
        <v>4</v>
      </c>
      <c r="B315" s="2" t="s">
        <v>311</v>
      </c>
      <c r="C315" s="3">
        <v>10</v>
      </c>
      <c r="D315" s="3"/>
      <c r="E315" s="3"/>
      <c r="F315" s="3">
        <f t="shared" si="34"/>
        <v>10</v>
      </c>
      <c r="G315" s="3">
        <v>33</v>
      </c>
      <c r="H315" s="3">
        <f t="shared" si="41"/>
        <v>-23</v>
      </c>
      <c r="I315" s="21">
        <f t="shared" si="42"/>
        <v>7.525735294117648</v>
      </c>
    </row>
    <row r="316" spans="1:9" ht="13.5">
      <c r="A316" s="1">
        <v>5</v>
      </c>
      <c r="B316" s="2" t="s">
        <v>312</v>
      </c>
      <c r="C316" s="3">
        <v>42</v>
      </c>
      <c r="D316" s="3"/>
      <c r="E316" s="3"/>
      <c r="F316" s="3">
        <f t="shared" si="34"/>
        <v>42</v>
      </c>
      <c r="G316" s="3">
        <v>107</v>
      </c>
      <c r="H316" s="3">
        <f t="shared" si="41"/>
        <v>-65</v>
      </c>
      <c r="I316" s="21">
        <f t="shared" si="42"/>
        <v>21.268382352941178</v>
      </c>
    </row>
    <row r="317" spans="1:9" ht="13.5">
      <c r="A317" s="1">
        <v>6</v>
      </c>
      <c r="B317" s="2" t="s">
        <v>313</v>
      </c>
      <c r="C317" s="3">
        <v>70</v>
      </c>
      <c r="D317" s="3"/>
      <c r="E317" s="3"/>
      <c r="F317" s="3">
        <f t="shared" si="34"/>
        <v>70</v>
      </c>
      <c r="G317" s="3">
        <v>77</v>
      </c>
      <c r="H317" s="3">
        <f t="shared" si="41"/>
        <v>-7</v>
      </c>
      <c r="I317" s="21">
        <f t="shared" si="42"/>
        <v>2.2904411764705883</v>
      </c>
    </row>
    <row r="318" spans="1:9" ht="13.5">
      <c r="A318" s="1">
        <v>7</v>
      </c>
      <c r="B318" s="2" t="s">
        <v>314</v>
      </c>
      <c r="C318" s="3">
        <v>17</v>
      </c>
      <c r="D318" s="3"/>
      <c r="E318" s="3"/>
      <c r="F318" s="3">
        <f t="shared" si="34"/>
        <v>17</v>
      </c>
      <c r="G318" s="3">
        <v>40</v>
      </c>
      <c r="H318" s="3">
        <f t="shared" si="41"/>
        <v>-23</v>
      </c>
      <c r="I318" s="21">
        <f t="shared" si="42"/>
        <v>7.525735294117648</v>
      </c>
    </row>
    <row r="319" spans="1:9" ht="13.5">
      <c r="A319" s="1">
        <v>8</v>
      </c>
      <c r="B319" s="2" t="s">
        <v>315</v>
      </c>
      <c r="C319" s="3">
        <v>60</v>
      </c>
      <c r="D319" s="3"/>
      <c r="E319" s="3">
        <v>1</v>
      </c>
      <c r="F319" s="3">
        <f t="shared" si="34"/>
        <v>59</v>
      </c>
      <c r="G319" s="3">
        <v>65</v>
      </c>
      <c r="H319" s="3">
        <f t="shared" si="41"/>
        <v>-6</v>
      </c>
      <c r="I319" s="21">
        <f t="shared" si="42"/>
        <v>1.9632352941176472</v>
      </c>
    </row>
    <row r="320" spans="1:9" ht="13.5">
      <c r="A320" s="1">
        <v>9</v>
      </c>
      <c r="B320" s="2" t="s">
        <v>316</v>
      </c>
      <c r="C320" s="3">
        <v>29</v>
      </c>
      <c r="D320" s="3"/>
      <c r="E320" s="3"/>
      <c r="F320" s="3">
        <f t="shared" si="34"/>
        <v>29</v>
      </c>
      <c r="G320" s="3">
        <v>35</v>
      </c>
      <c r="H320" s="3">
        <f t="shared" si="41"/>
        <v>-6</v>
      </c>
      <c r="I320" s="21">
        <f t="shared" si="42"/>
        <v>1.9632352941176472</v>
      </c>
    </row>
    <row r="321" spans="1:9" ht="13.5">
      <c r="A321" s="1">
        <v>10</v>
      </c>
      <c r="B321" s="2" t="s">
        <v>317</v>
      </c>
      <c r="C321" s="3">
        <v>16</v>
      </c>
      <c r="D321" s="3"/>
      <c r="E321" s="3"/>
      <c r="F321" s="3">
        <f t="shared" si="34"/>
        <v>16</v>
      </c>
      <c r="G321" s="3">
        <v>16</v>
      </c>
      <c r="H321" s="3">
        <f t="shared" si="41"/>
        <v>0</v>
      </c>
      <c r="I321" s="21">
        <f t="shared" si="42"/>
        <v>0</v>
      </c>
    </row>
    <row r="322" spans="1:9" ht="13.5">
      <c r="A322" s="1">
        <v>11</v>
      </c>
      <c r="B322" s="2" t="s">
        <v>318</v>
      </c>
      <c r="C322" s="3"/>
      <c r="D322" s="3"/>
      <c r="E322" s="3"/>
      <c r="F322" s="3">
        <f t="shared" si="34"/>
        <v>0</v>
      </c>
      <c r="G322" s="3"/>
      <c r="H322" s="3">
        <f t="shared" si="41"/>
        <v>0</v>
      </c>
      <c r="I322" s="21">
        <f t="shared" si="42"/>
        <v>0</v>
      </c>
    </row>
    <row r="323" spans="1:9" ht="13.5">
      <c r="A323" s="1">
        <v>12</v>
      </c>
      <c r="B323" s="2" t="s">
        <v>319</v>
      </c>
      <c r="C323" s="3">
        <v>305</v>
      </c>
      <c r="D323" s="3"/>
      <c r="E323" s="3">
        <v>3</v>
      </c>
      <c r="F323" s="3">
        <f t="shared" si="34"/>
        <v>302</v>
      </c>
      <c r="G323" s="3">
        <v>326</v>
      </c>
      <c r="H323" s="3">
        <f t="shared" si="41"/>
        <v>-24</v>
      </c>
      <c r="I323" s="21">
        <f t="shared" si="42"/>
        <v>7.852941176470589</v>
      </c>
    </row>
    <row r="324" spans="1:9" ht="13.5">
      <c r="A324" s="1">
        <v>13</v>
      </c>
      <c r="B324" s="2" t="s">
        <v>320</v>
      </c>
      <c r="C324" s="3">
        <v>71</v>
      </c>
      <c r="D324" s="3"/>
      <c r="E324" s="3">
        <v>2</v>
      </c>
      <c r="F324" s="3">
        <f t="shared" si="34"/>
        <v>69</v>
      </c>
      <c r="G324" s="3">
        <v>88</v>
      </c>
      <c r="H324" s="3">
        <f t="shared" si="41"/>
        <v>-19</v>
      </c>
      <c r="I324" s="21">
        <f t="shared" si="42"/>
        <v>6.216911764705882</v>
      </c>
    </row>
    <row r="325" spans="1:9" ht="13.5">
      <c r="A325" s="14" t="s">
        <v>470</v>
      </c>
      <c r="B325" s="15" t="s">
        <v>321</v>
      </c>
      <c r="C325" s="16">
        <f>SUM(C326:C338)</f>
        <v>658</v>
      </c>
      <c r="D325" s="16">
        <f>SUM(D326:D338)</f>
        <v>1</v>
      </c>
      <c r="E325" s="16">
        <f>SUM(E326:E338)</f>
        <v>2</v>
      </c>
      <c r="F325" s="16">
        <f t="shared" si="34"/>
        <v>655</v>
      </c>
      <c r="G325" s="16">
        <f>SUM(G326:G338)</f>
        <v>1063</v>
      </c>
      <c r="H325" s="16">
        <f>SUM(H326:H338)</f>
        <v>-408</v>
      </c>
      <c r="I325" s="23">
        <f>H325/-11502*3774</f>
        <v>133.8716744913928</v>
      </c>
    </row>
    <row r="326" spans="1:9" ht="13.5">
      <c r="A326" s="1">
        <v>1</v>
      </c>
      <c r="B326" s="2" t="s">
        <v>322</v>
      </c>
      <c r="C326" s="3">
        <v>50</v>
      </c>
      <c r="D326" s="3"/>
      <c r="E326" s="3"/>
      <c r="F326" s="3">
        <f t="shared" si="34"/>
        <v>50</v>
      </c>
      <c r="G326" s="3">
        <v>67</v>
      </c>
      <c r="H326" s="3">
        <f aca="true" t="shared" si="43" ref="H326:H338">F326-G326</f>
        <v>-17</v>
      </c>
      <c r="I326" s="21">
        <f>H326/-408*134</f>
        <v>5.583333333333333</v>
      </c>
    </row>
    <row r="327" spans="1:9" ht="13.5">
      <c r="A327" s="1">
        <v>2</v>
      </c>
      <c r="B327" s="2" t="s">
        <v>323</v>
      </c>
      <c r="C327" s="3">
        <v>27</v>
      </c>
      <c r="D327" s="3"/>
      <c r="E327" s="3"/>
      <c r="F327" s="3">
        <f t="shared" si="34"/>
        <v>27</v>
      </c>
      <c r="G327" s="3">
        <v>137</v>
      </c>
      <c r="H327" s="3">
        <f t="shared" si="43"/>
        <v>-110</v>
      </c>
      <c r="I327" s="21">
        <f aca="true" t="shared" si="44" ref="I327:I338">H327/-408*134</f>
        <v>36.127450980392155</v>
      </c>
    </row>
    <row r="328" spans="1:9" ht="13.5">
      <c r="A328" s="1">
        <v>3</v>
      </c>
      <c r="B328" s="2" t="s">
        <v>324</v>
      </c>
      <c r="C328" s="3">
        <v>16</v>
      </c>
      <c r="D328" s="3"/>
      <c r="E328" s="3"/>
      <c r="F328" s="3">
        <f aca="true" t="shared" si="45" ref="F328:F391">C328-E328-D328</f>
        <v>16</v>
      </c>
      <c r="G328" s="3">
        <v>27</v>
      </c>
      <c r="H328" s="3">
        <f t="shared" si="43"/>
        <v>-11</v>
      </c>
      <c r="I328" s="21">
        <f t="shared" si="44"/>
        <v>3.6127450980392157</v>
      </c>
    </row>
    <row r="329" spans="1:9" ht="13.5">
      <c r="A329" s="1">
        <v>4</v>
      </c>
      <c r="B329" s="2" t="s">
        <v>325</v>
      </c>
      <c r="C329" s="3">
        <v>21</v>
      </c>
      <c r="D329" s="3"/>
      <c r="E329" s="3"/>
      <c r="F329" s="3">
        <f t="shared" si="45"/>
        <v>21</v>
      </c>
      <c r="G329" s="3">
        <v>32</v>
      </c>
      <c r="H329" s="3">
        <f t="shared" si="43"/>
        <v>-11</v>
      </c>
      <c r="I329" s="21">
        <f t="shared" si="44"/>
        <v>3.6127450980392157</v>
      </c>
    </row>
    <row r="330" spans="1:9" ht="13.5">
      <c r="A330" s="1">
        <v>5</v>
      </c>
      <c r="B330" s="2" t="s">
        <v>326</v>
      </c>
      <c r="C330" s="3"/>
      <c r="D330" s="3"/>
      <c r="E330" s="3"/>
      <c r="F330" s="3">
        <f t="shared" si="45"/>
        <v>0</v>
      </c>
      <c r="G330" s="3">
        <v>0</v>
      </c>
      <c r="H330" s="3">
        <f t="shared" si="43"/>
        <v>0</v>
      </c>
      <c r="I330" s="21">
        <f t="shared" si="44"/>
        <v>0</v>
      </c>
    </row>
    <row r="331" spans="1:9" ht="13.5">
      <c r="A331" s="1">
        <v>6</v>
      </c>
      <c r="B331" s="2" t="s">
        <v>327</v>
      </c>
      <c r="C331" s="3">
        <v>1</v>
      </c>
      <c r="D331" s="3"/>
      <c r="E331" s="3"/>
      <c r="F331" s="3">
        <f t="shared" si="45"/>
        <v>1</v>
      </c>
      <c r="G331" s="3">
        <v>1</v>
      </c>
      <c r="H331" s="3">
        <f t="shared" si="43"/>
        <v>0</v>
      </c>
      <c r="I331" s="21">
        <f t="shared" si="44"/>
        <v>0</v>
      </c>
    </row>
    <row r="332" spans="1:9" ht="13.5">
      <c r="A332" s="1">
        <v>7</v>
      </c>
      <c r="B332" s="2" t="s">
        <v>328</v>
      </c>
      <c r="C332" s="3">
        <v>1</v>
      </c>
      <c r="D332" s="3"/>
      <c r="E332" s="3"/>
      <c r="F332" s="3">
        <f t="shared" si="45"/>
        <v>1</v>
      </c>
      <c r="G332" s="3">
        <v>1</v>
      </c>
      <c r="H332" s="3">
        <f t="shared" si="43"/>
        <v>0</v>
      </c>
      <c r="I332" s="21">
        <f t="shared" si="44"/>
        <v>0</v>
      </c>
    </row>
    <row r="333" spans="1:9" ht="13.5">
      <c r="A333" s="1">
        <v>8</v>
      </c>
      <c r="B333" s="2" t="s">
        <v>329</v>
      </c>
      <c r="C333" s="3"/>
      <c r="D333" s="3"/>
      <c r="E333" s="3"/>
      <c r="F333" s="3">
        <f t="shared" si="45"/>
        <v>0</v>
      </c>
      <c r="G333" s="3">
        <v>0</v>
      </c>
      <c r="H333" s="3">
        <f t="shared" si="43"/>
        <v>0</v>
      </c>
      <c r="I333" s="21">
        <f t="shared" si="44"/>
        <v>0</v>
      </c>
    </row>
    <row r="334" spans="1:9" ht="13.5">
      <c r="A334" s="1">
        <v>9</v>
      </c>
      <c r="B334" s="2" t="s">
        <v>330</v>
      </c>
      <c r="C334" s="3"/>
      <c r="D334" s="3"/>
      <c r="E334" s="3"/>
      <c r="F334" s="3">
        <f t="shared" si="45"/>
        <v>0</v>
      </c>
      <c r="G334" s="3">
        <v>0</v>
      </c>
      <c r="H334" s="3">
        <f t="shared" si="43"/>
        <v>0</v>
      </c>
      <c r="I334" s="21">
        <f t="shared" si="44"/>
        <v>0</v>
      </c>
    </row>
    <row r="335" spans="1:9" ht="13.5">
      <c r="A335" s="1">
        <v>10</v>
      </c>
      <c r="B335" s="2" t="s">
        <v>331</v>
      </c>
      <c r="C335" s="3">
        <v>230</v>
      </c>
      <c r="D335" s="3">
        <v>1</v>
      </c>
      <c r="E335" s="3">
        <v>1</v>
      </c>
      <c r="F335" s="3">
        <f t="shared" si="45"/>
        <v>228</v>
      </c>
      <c r="G335" s="3">
        <v>285</v>
      </c>
      <c r="H335" s="3">
        <f t="shared" si="43"/>
        <v>-57</v>
      </c>
      <c r="I335" s="21">
        <f t="shared" si="44"/>
        <v>18.72058823529412</v>
      </c>
    </row>
    <row r="336" spans="1:9" ht="13.5">
      <c r="A336" s="1">
        <v>11</v>
      </c>
      <c r="B336" s="2" t="s">
        <v>332</v>
      </c>
      <c r="C336" s="3">
        <v>181</v>
      </c>
      <c r="D336" s="3"/>
      <c r="E336" s="3">
        <v>1</v>
      </c>
      <c r="F336" s="3">
        <f t="shared" si="45"/>
        <v>180</v>
      </c>
      <c r="G336" s="3">
        <v>343</v>
      </c>
      <c r="H336" s="3">
        <f t="shared" si="43"/>
        <v>-163</v>
      </c>
      <c r="I336" s="21">
        <f t="shared" si="44"/>
        <v>53.5343137254902</v>
      </c>
    </row>
    <row r="337" spans="1:9" ht="13.5">
      <c r="A337" s="1">
        <v>12</v>
      </c>
      <c r="B337" s="2" t="s">
        <v>333</v>
      </c>
      <c r="C337" s="3">
        <v>103</v>
      </c>
      <c r="D337" s="3"/>
      <c r="E337" s="3"/>
      <c r="F337" s="3">
        <f t="shared" si="45"/>
        <v>103</v>
      </c>
      <c r="G337" s="3">
        <v>126</v>
      </c>
      <c r="H337" s="3">
        <f t="shared" si="43"/>
        <v>-23</v>
      </c>
      <c r="I337" s="21">
        <f t="shared" si="44"/>
        <v>7.553921568627451</v>
      </c>
    </row>
    <row r="338" spans="1:9" ht="13.5">
      <c r="A338" s="1">
        <v>13</v>
      </c>
      <c r="B338" s="2" t="s">
        <v>334</v>
      </c>
      <c r="C338" s="3">
        <v>28</v>
      </c>
      <c r="D338" s="3"/>
      <c r="E338" s="3"/>
      <c r="F338" s="3">
        <f t="shared" si="45"/>
        <v>28</v>
      </c>
      <c r="G338" s="3">
        <v>44</v>
      </c>
      <c r="H338" s="3">
        <f t="shared" si="43"/>
        <v>-16</v>
      </c>
      <c r="I338" s="21">
        <f t="shared" si="44"/>
        <v>5.254901960784314</v>
      </c>
    </row>
    <row r="339" spans="1:9" ht="13.5">
      <c r="A339" s="14" t="s">
        <v>471</v>
      </c>
      <c r="B339" s="15" t="s">
        <v>335</v>
      </c>
      <c r="C339" s="16">
        <f>SUM(C340:C346)</f>
        <v>988</v>
      </c>
      <c r="D339" s="16">
        <f>SUM(D340:D346)</f>
        <v>4</v>
      </c>
      <c r="E339" s="16">
        <f>SUM(E340:E346)</f>
        <v>10</v>
      </c>
      <c r="F339" s="16">
        <f t="shared" si="45"/>
        <v>974</v>
      </c>
      <c r="G339" s="16">
        <f>SUM(G340:G346)</f>
        <v>1006</v>
      </c>
      <c r="H339" s="16">
        <f>SUM(H340:H346)</f>
        <v>-32</v>
      </c>
      <c r="I339" s="23">
        <f>H339/-11502*3774</f>
        <v>10.499739175795513</v>
      </c>
    </row>
    <row r="340" spans="1:9" ht="13.5">
      <c r="A340" s="1">
        <v>1</v>
      </c>
      <c r="B340" s="2" t="s">
        <v>336</v>
      </c>
      <c r="C340" s="3">
        <v>96</v>
      </c>
      <c r="D340" s="3"/>
      <c r="E340" s="3"/>
      <c r="F340" s="3">
        <f t="shared" si="45"/>
        <v>96</v>
      </c>
      <c r="G340" s="3">
        <v>117</v>
      </c>
      <c r="H340" s="3">
        <f>F340-G340</f>
        <v>-21</v>
      </c>
      <c r="I340" s="21">
        <f>H340/-32*10</f>
        <v>6.5625</v>
      </c>
    </row>
    <row r="341" spans="1:9" ht="13.5">
      <c r="A341" s="1">
        <v>2</v>
      </c>
      <c r="B341" s="2" t="s">
        <v>337</v>
      </c>
      <c r="C341" s="3">
        <v>294</v>
      </c>
      <c r="D341" s="3">
        <v>1</v>
      </c>
      <c r="E341" s="3">
        <v>2</v>
      </c>
      <c r="F341" s="3">
        <f t="shared" si="45"/>
        <v>291</v>
      </c>
      <c r="G341" s="3">
        <v>291</v>
      </c>
      <c r="H341" s="3">
        <v>0</v>
      </c>
      <c r="I341" s="21">
        <f aca="true" t="shared" si="46" ref="I341:I346">H341/-32*10</f>
        <v>0</v>
      </c>
    </row>
    <row r="342" spans="1:9" ht="13.5">
      <c r="A342" s="1">
        <v>3</v>
      </c>
      <c r="B342" s="2" t="s">
        <v>338</v>
      </c>
      <c r="C342" s="3">
        <v>96</v>
      </c>
      <c r="D342" s="3">
        <v>1</v>
      </c>
      <c r="E342" s="3">
        <v>2</v>
      </c>
      <c r="F342" s="3">
        <f t="shared" si="45"/>
        <v>93</v>
      </c>
      <c r="G342" s="3">
        <v>104</v>
      </c>
      <c r="H342" s="3">
        <f>F342-G342</f>
        <v>-11</v>
      </c>
      <c r="I342" s="21">
        <f t="shared" si="46"/>
        <v>3.4375</v>
      </c>
    </row>
    <row r="343" spans="1:9" ht="13.5">
      <c r="A343" s="1">
        <v>4</v>
      </c>
      <c r="B343" s="2" t="s">
        <v>339</v>
      </c>
      <c r="C343" s="3">
        <v>7</v>
      </c>
      <c r="D343" s="3"/>
      <c r="E343" s="3"/>
      <c r="F343" s="3">
        <f t="shared" si="45"/>
        <v>7</v>
      </c>
      <c r="G343" s="3">
        <v>7</v>
      </c>
      <c r="H343" s="3">
        <f>F343-G343</f>
        <v>0</v>
      </c>
      <c r="I343" s="21">
        <f t="shared" si="46"/>
        <v>0</v>
      </c>
    </row>
    <row r="344" spans="1:9" ht="13.5">
      <c r="A344" s="1">
        <v>5</v>
      </c>
      <c r="B344" s="2" t="s">
        <v>340</v>
      </c>
      <c r="C344" s="3"/>
      <c r="D344" s="3"/>
      <c r="E344" s="3"/>
      <c r="F344" s="3">
        <f t="shared" si="45"/>
        <v>0</v>
      </c>
      <c r="G344" s="3"/>
      <c r="H344" s="3">
        <f>F344-G344</f>
        <v>0</v>
      </c>
      <c r="I344" s="21">
        <f t="shared" si="46"/>
        <v>0</v>
      </c>
    </row>
    <row r="345" spans="1:9" ht="13.5">
      <c r="A345" s="1">
        <v>6</v>
      </c>
      <c r="B345" s="2" t="s">
        <v>341</v>
      </c>
      <c r="C345" s="3">
        <v>364</v>
      </c>
      <c r="D345" s="3">
        <v>2</v>
      </c>
      <c r="E345" s="3">
        <v>4</v>
      </c>
      <c r="F345" s="3">
        <f t="shared" si="45"/>
        <v>358</v>
      </c>
      <c r="G345" s="3">
        <v>358</v>
      </c>
      <c r="H345" s="3">
        <v>0</v>
      </c>
      <c r="I345" s="21">
        <f t="shared" si="46"/>
        <v>0</v>
      </c>
    </row>
    <row r="346" spans="1:9" ht="13.5">
      <c r="A346" s="1">
        <v>7</v>
      </c>
      <c r="B346" s="2" t="s">
        <v>342</v>
      </c>
      <c r="C346" s="3">
        <v>131</v>
      </c>
      <c r="D346" s="3"/>
      <c r="E346" s="3">
        <v>2</v>
      </c>
      <c r="F346" s="3">
        <f t="shared" si="45"/>
        <v>129</v>
      </c>
      <c r="G346" s="3">
        <v>129</v>
      </c>
      <c r="H346" s="3">
        <v>0</v>
      </c>
      <c r="I346" s="21">
        <f t="shared" si="46"/>
        <v>0</v>
      </c>
    </row>
    <row r="347" spans="1:9" ht="13.5">
      <c r="A347" s="14" t="s">
        <v>472</v>
      </c>
      <c r="B347" s="15" t="s">
        <v>343</v>
      </c>
      <c r="C347" s="16">
        <f>SUM(C348:C356)</f>
        <v>628</v>
      </c>
      <c r="D347" s="16">
        <f>SUM(D348:D356)</f>
        <v>1</v>
      </c>
      <c r="E347" s="16">
        <f>SUM(E348:E356)</f>
        <v>10</v>
      </c>
      <c r="F347" s="16">
        <f t="shared" si="45"/>
        <v>617</v>
      </c>
      <c r="G347" s="16">
        <f>SUM(G348:G356)</f>
        <v>893</v>
      </c>
      <c r="H347" s="16">
        <f>SUM(H348:H356)</f>
        <v>-276</v>
      </c>
      <c r="I347" s="23">
        <f>H347/-11502*3774</f>
        <v>90.56025039123631</v>
      </c>
    </row>
    <row r="348" spans="1:9" ht="13.5">
      <c r="A348" s="1">
        <v>1</v>
      </c>
      <c r="B348" s="2" t="s">
        <v>344</v>
      </c>
      <c r="C348" s="3">
        <v>85</v>
      </c>
      <c r="D348" s="3"/>
      <c r="E348" s="3"/>
      <c r="F348" s="3">
        <f t="shared" si="45"/>
        <v>85</v>
      </c>
      <c r="G348" s="3">
        <v>106</v>
      </c>
      <c r="H348" s="3">
        <f aca="true" t="shared" si="47" ref="H348:H356">F348-G348</f>
        <v>-21</v>
      </c>
      <c r="I348" s="21">
        <f>H348/-276*91</f>
        <v>6.923913043478262</v>
      </c>
    </row>
    <row r="349" spans="1:9" ht="13.5">
      <c r="A349" s="1">
        <v>2</v>
      </c>
      <c r="B349" s="2" t="s">
        <v>345</v>
      </c>
      <c r="C349" s="3">
        <v>95</v>
      </c>
      <c r="D349" s="3">
        <v>1</v>
      </c>
      <c r="E349" s="3"/>
      <c r="F349" s="3">
        <f t="shared" si="45"/>
        <v>94</v>
      </c>
      <c r="G349" s="3">
        <v>121</v>
      </c>
      <c r="H349" s="3">
        <f t="shared" si="47"/>
        <v>-27</v>
      </c>
      <c r="I349" s="21">
        <f aca="true" t="shared" si="48" ref="I349:I356">H349/-276*91</f>
        <v>8.902173913043478</v>
      </c>
    </row>
    <row r="350" spans="1:9" ht="13.5">
      <c r="A350" s="1">
        <v>3</v>
      </c>
      <c r="B350" s="2" t="s">
        <v>346</v>
      </c>
      <c r="C350" s="3">
        <v>56</v>
      </c>
      <c r="D350" s="3"/>
      <c r="E350" s="3">
        <v>1</v>
      </c>
      <c r="F350" s="3">
        <f t="shared" si="45"/>
        <v>55</v>
      </c>
      <c r="G350" s="3">
        <v>55</v>
      </c>
      <c r="H350" s="3">
        <f t="shared" si="47"/>
        <v>0</v>
      </c>
      <c r="I350" s="21">
        <f t="shared" si="48"/>
        <v>0</v>
      </c>
    </row>
    <row r="351" spans="1:9" ht="13.5">
      <c r="A351" s="1">
        <v>4</v>
      </c>
      <c r="B351" s="2" t="s">
        <v>347</v>
      </c>
      <c r="C351" s="3">
        <v>71</v>
      </c>
      <c r="D351" s="3"/>
      <c r="E351" s="3"/>
      <c r="F351" s="3">
        <f t="shared" si="45"/>
        <v>71</v>
      </c>
      <c r="G351" s="3">
        <v>88</v>
      </c>
      <c r="H351" s="3">
        <f t="shared" si="47"/>
        <v>-17</v>
      </c>
      <c r="I351" s="21">
        <f t="shared" si="48"/>
        <v>5.605072463768116</v>
      </c>
    </row>
    <row r="352" spans="1:9" ht="13.5">
      <c r="A352" s="1">
        <v>5</v>
      </c>
      <c r="B352" s="2" t="s">
        <v>348</v>
      </c>
      <c r="C352" s="3">
        <v>26</v>
      </c>
      <c r="D352" s="3"/>
      <c r="E352" s="3">
        <v>2</v>
      </c>
      <c r="F352" s="3">
        <f t="shared" si="45"/>
        <v>24</v>
      </c>
      <c r="G352" s="3">
        <v>156</v>
      </c>
      <c r="H352" s="3">
        <f t="shared" si="47"/>
        <v>-132</v>
      </c>
      <c r="I352" s="21">
        <f t="shared" si="48"/>
        <v>43.52173913043478</v>
      </c>
    </row>
    <row r="353" spans="1:9" ht="13.5">
      <c r="A353" s="1">
        <v>6</v>
      </c>
      <c r="B353" s="2" t="s">
        <v>349</v>
      </c>
      <c r="C353" s="3">
        <v>1</v>
      </c>
      <c r="D353" s="3"/>
      <c r="E353" s="3"/>
      <c r="F353" s="3">
        <f t="shared" si="45"/>
        <v>1</v>
      </c>
      <c r="G353" s="3">
        <v>1</v>
      </c>
      <c r="H353" s="3">
        <f t="shared" si="47"/>
        <v>0</v>
      </c>
      <c r="I353" s="21">
        <f t="shared" si="48"/>
        <v>0</v>
      </c>
    </row>
    <row r="354" spans="1:9" ht="13.5">
      <c r="A354" s="1">
        <v>7</v>
      </c>
      <c r="B354" s="2" t="s">
        <v>350</v>
      </c>
      <c r="C354" s="3"/>
      <c r="D354" s="3"/>
      <c r="E354" s="3"/>
      <c r="F354" s="3">
        <f t="shared" si="45"/>
        <v>0</v>
      </c>
      <c r="G354" s="3">
        <v>58</v>
      </c>
      <c r="H354" s="3">
        <f t="shared" si="47"/>
        <v>-58</v>
      </c>
      <c r="I354" s="21">
        <f t="shared" si="48"/>
        <v>19.1231884057971</v>
      </c>
    </row>
    <row r="355" spans="1:9" ht="13.5">
      <c r="A355" s="1">
        <v>8</v>
      </c>
      <c r="B355" s="2" t="s">
        <v>351</v>
      </c>
      <c r="C355" s="3"/>
      <c r="D355" s="3"/>
      <c r="E355" s="3"/>
      <c r="F355" s="3">
        <f t="shared" si="45"/>
        <v>0</v>
      </c>
      <c r="G355" s="3"/>
      <c r="H355" s="3">
        <f t="shared" si="47"/>
        <v>0</v>
      </c>
      <c r="I355" s="21">
        <f t="shared" si="48"/>
        <v>0</v>
      </c>
    </row>
    <row r="356" spans="1:9" ht="13.5">
      <c r="A356" s="1">
        <v>9</v>
      </c>
      <c r="B356" s="2" t="s">
        <v>352</v>
      </c>
      <c r="C356" s="3">
        <v>294</v>
      </c>
      <c r="D356" s="3"/>
      <c r="E356" s="3">
        <v>7</v>
      </c>
      <c r="F356" s="3">
        <f t="shared" si="45"/>
        <v>287</v>
      </c>
      <c r="G356" s="3">
        <v>308</v>
      </c>
      <c r="H356" s="3">
        <f t="shared" si="47"/>
        <v>-21</v>
      </c>
      <c r="I356" s="21">
        <f t="shared" si="48"/>
        <v>6.923913043478262</v>
      </c>
    </row>
    <row r="357" spans="1:9" ht="13.5">
      <c r="A357" s="14" t="s">
        <v>473</v>
      </c>
      <c r="B357" s="15" t="s">
        <v>353</v>
      </c>
      <c r="C357" s="16">
        <f>SUM(C358:C385)</f>
        <v>2481</v>
      </c>
      <c r="D357" s="16">
        <f>SUM(D358:D385)</f>
        <v>13</v>
      </c>
      <c r="E357" s="16">
        <f>SUM(E358:E385)</f>
        <v>30</v>
      </c>
      <c r="F357" s="16">
        <f t="shared" si="45"/>
        <v>2438</v>
      </c>
      <c r="G357" s="16">
        <f>SUM(G358:G385)</f>
        <v>2971</v>
      </c>
      <c r="H357" s="16">
        <f>SUM(H358:H385)</f>
        <v>-533</v>
      </c>
      <c r="I357" s="23">
        <f>H357/-11502*3774</f>
        <v>174.88628064684403</v>
      </c>
    </row>
    <row r="358" spans="1:9" ht="13.5">
      <c r="A358" s="1">
        <v>1</v>
      </c>
      <c r="B358" s="2" t="s">
        <v>354</v>
      </c>
      <c r="C358" s="3">
        <v>4</v>
      </c>
      <c r="D358" s="3"/>
      <c r="E358" s="3"/>
      <c r="F358" s="3">
        <f t="shared" si="45"/>
        <v>4</v>
      </c>
      <c r="G358" s="3">
        <v>51</v>
      </c>
      <c r="H358" s="3">
        <f aca="true" t="shared" si="49" ref="H358:H385">F358-G358</f>
        <v>-47</v>
      </c>
      <c r="I358" s="21">
        <f>H358/533*-175</f>
        <v>15.431519699812384</v>
      </c>
    </row>
    <row r="359" spans="1:9" ht="13.5">
      <c r="A359" s="1">
        <v>2</v>
      </c>
      <c r="B359" s="2" t="s">
        <v>355</v>
      </c>
      <c r="C359" s="3">
        <v>63</v>
      </c>
      <c r="D359" s="3"/>
      <c r="E359" s="3"/>
      <c r="F359" s="3">
        <f t="shared" si="45"/>
        <v>63</v>
      </c>
      <c r="G359" s="3">
        <v>65</v>
      </c>
      <c r="H359" s="3">
        <f t="shared" si="49"/>
        <v>-2</v>
      </c>
      <c r="I359" s="21">
        <f aca="true" t="shared" si="50" ref="I359:I385">H359/533*-175</f>
        <v>0.6566604127579737</v>
      </c>
    </row>
    <row r="360" spans="1:9" ht="13.5">
      <c r="A360" s="1">
        <v>3</v>
      </c>
      <c r="B360" s="2" t="s">
        <v>356</v>
      </c>
      <c r="C360" s="3">
        <v>38</v>
      </c>
      <c r="D360" s="3"/>
      <c r="E360" s="3"/>
      <c r="F360" s="3">
        <f t="shared" si="45"/>
        <v>38</v>
      </c>
      <c r="G360" s="3">
        <v>50</v>
      </c>
      <c r="H360" s="3">
        <f t="shared" si="49"/>
        <v>-12</v>
      </c>
      <c r="I360" s="21">
        <f t="shared" si="50"/>
        <v>3.9399624765478425</v>
      </c>
    </row>
    <row r="361" spans="1:9" ht="13.5">
      <c r="A361" s="1">
        <v>4</v>
      </c>
      <c r="B361" s="2" t="s">
        <v>357</v>
      </c>
      <c r="C361" s="3">
        <v>38</v>
      </c>
      <c r="D361" s="3"/>
      <c r="E361" s="3"/>
      <c r="F361" s="3">
        <f t="shared" si="45"/>
        <v>38</v>
      </c>
      <c r="G361" s="3">
        <v>48</v>
      </c>
      <c r="H361" s="3">
        <f t="shared" si="49"/>
        <v>-10</v>
      </c>
      <c r="I361" s="21">
        <f t="shared" si="50"/>
        <v>3.283302063789869</v>
      </c>
    </row>
    <row r="362" spans="1:9" ht="13.5">
      <c r="A362" s="1">
        <v>5</v>
      </c>
      <c r="B362" s="2" t="s">
        <v>358</v>
      </c>
      <c r="C362" s="3">
        <v>46</v>
      </c>
      <c r="D362" s="3"/>
      <c r="E362" s="3"/>
      <c r="F362" s="3">
        <f t="shared" si="45"/>
        <v>46</v>
      </c>
      <c r="G362" s="3">
        <v>46</v>
      </c>
      <c r="H362" s="3">
        <v>0</v>
      </c>
      <c r="I362" s="21">
        <f t="shared" si="50"/>
        <v>0</v>
      </c>
    </row>
    <row r="363" spans="1:9" ht="13.5">
      <c r="A363" s="1">
        <v>6</v>
      </c>
      <c r="B363" s="2" t="s">
        <v>359</v>
      </c>
      <c r="C363" s="3">
        <v>239</v>
      </c>
      <c r="D363" s="3"/>
      <c r="E363" s="3"/>
      <c r="F363" s="3">
        <f t="shared" si="45"/>
        <v>239</v>
      </c>
      <c r="G363" s="3">
        <v>239</v>
      </c>
      <c r="H363" s="3">
        <v>0</v>
      </c>
      <c r="I363" s="21">
        <f t="shared" si="50"/>
        <v>0</v>
      </c>
    </row>
    <row r="364" spans="1:9" ht="13.5">
      <c r="A364" s="1">
        <v>7</v>
      </c>
      <c r="B364" s="2" t="s">
        <v>360</v>
      </c>
      <c r="C364" s="3">
        <v>51</v>
      </c>
      <c r="D364" s="3"/>
      <c r="E364" s="3"/>
      <c r="F364" s="3">
        <f t="shared" si="45"/>
        <v>51</v>
      </c>
      <c r="G364" s="3">
        <v>59</v>
      </c>
      <c r="H364" s="3">
        <f t="shared" si="49"/>
        <v>-8</v>
      </c>
      <c r="I364" s="21">
        <f t="shared" si="50"/>
        <v>2.626641651031895</v>
      </c>
    </row>
    <row r="365" spans="1:9" ht="13.5">
      <c r="A365" s="1">
        <v>8</v>
      </c>
      <c r="B365" s="2" t="s">
        <v>361</v>
      </c>
      <c r="C365" s="3">
        <v>2</v>
      </c>
      <c r="D365" s="3"/>
      <c r="E365" s="3"/>
      <c r="F365" s="3">
        <f t="shared" si="45"/>
        <v>2</v>
      </c>
      <c r="G365" s="3">
        <v>2</v>
      </c>
      <c r="H365" s="3">
        <f t="shared" si="49"/>
        <v>0</v>
      </c>
      <c r="I365" s="21">
        <f t="shared" si="50"/>
        <v>0</v>
      </c>
    </row>
    <row r="366" spans="1:9" ht="13.5">
      <c r="A366" s="1">
        <v>9</v>
      </c>
      <c r="B366" s="2" t="s">
        <v>362</v>
      </c>
      <c r="C366" s="3">
        <v>89</v>
      </c>
      <c r="D366" s="3"/>
      <c r="E366" s="3"/>
      <c r="F366" s="3">
        <f t="shared" si="45"/>
        <v>89</v>
      </c>
      <c r="G366" s="3">
        <v>130</v>
      </c>
      <c r="H366" s="3">
        <f t="shared" si="49"/>
        <v>-41</v>
      </c>
      <c r="I366" s="21">
        <f t="shared" si="50"/>
        <v>13.461538461538462</v>
      </c>
    </row>
    <row r="367" spans="1:9" ht="13.5">
      <c r="A367" s="1">
        <v>10</v>
      </c>
      <c r="B367" s="2" t="s">
        <v>363</v>
      </c>
      <c r="C367" s="3">
        <v>39</v>
      </c>
      <c r="D367" s="3"/>
      <c r="E367" s="3"/>
      <c r="F367" s="3">
        <f t="shared" si="45"/>
        <v>39</v>
      </c>
      <c r="G367" s="3">
        <v>51</v>
      </c>
      <c r="H367" s="3">
        <f t="shared" si="49"/>
        <v>-12</v>
      </c>
      <c r="I367" s="21">
        <f t="shared" si="50"/>
        <v>3.9399624765478425</v>
      </c>
    </row>
    <row r="368" spans="1:9" ht="13.5">
      <c r="A368" s="1">
        <v>11</v>
      </c>
      <c r="B368" s="2" t="s">
        <v>364</v>
      </c>
      <c r="C368" s="3">
        <v>56</v>
      </c>
      <c r="D368" s="3"/>
      <c r="E368" s="3"/>
      <c r="F368" s="3">
        <f t="shared" si="45"/>
        <v>56</v>
      </c>
      <c r="G368" s="3">
        <v>56</v>
      </c>
      <c r="H368" s="3">
        <v>0</v>
      </c>
      <c r="I368" s="21">
        <f t="shared" si="50"/>
        <v>0</v>
      </c>
    </row>
    <row r="369" spans="1:9" ht="13.5">
      <c r="A369" s="1">
        <v>12</v>
      </c>
      <c r="B369" s="2" t="s">
        <v>365</v>
      </c>
      <c r="C369" s="3">
        <v>86</v>
      </c>
      <c r="D369" s="3">
        <v>1</v>
      </c>
      <c r="E369" s="3">
        <v>1</v>
      </c>
      <c r="F369" s="3">
        <f t="shared" si="45"/>
        <v>84</v>
      </c>
      <c r="G369" s="3">
        <v>84</v>
      </c>
      <c r="H369" s="3">
        <v>0</v>
      </c>
      <c r="I369" s="21">
        <f t="shared" si="50"/>
        <v>0</v>
      </c>
    </row>
    <row r="370" spans="1:9" ht="13.5">
      <c r="A370" s="1">
        <v>13</v>
      </c>
      <c r="B370" s="2" t="s">
        <v>366</v>
      </c>
      <c r="C370" s="3">
        <v>39</v>
      </c>
      <c r="D370" s="3"/>
      <c r="E370" s="3"/>
      <c r="F370" s="3">
        <f t="shared" si="45"/>
        <v>39</v>
      </c>
      <c r="G370" s="3">
        <v>39</v>
      </c>
      <c r="H370" s="3">
        <v>0</v>
      </c>
      <c r="I370" s="21">
        <f t="shared" si="50"/>
        <v>0</v>
      </c>
    </row>
    <row r="371" spans="1:9" ht="13.5">
      <c r="A371" s="1">
        <v>14</v>
      </c>
      <c r="B371" s="2" t="s">
        <v>367</v>
      </c>
      <c r="C371" s="3">
        <v>134</v>
      </c>
      <c r="D371" s="3">
        <v>2</v>
      </c>
      <c r="E371" s="3">
        <v>3</v>
      </c>
      <c r="F371" s="3">
        <f t="shared" si="45"/>
        <v>129</v>
      </c>
      <c r="G371" s="3">
        <v>161</v>
      </c>
      <c r="H371" s="3">
        <f t="shared" si="49"/>
        <v>-32</v>
      </c>
      <c r="I371" s="21">
        <f t="shared" si="50"/>
        <v>10.50656660412758</v>
      </c>
    </row>
    <row r="372" spans="1:9" ht="13.5">
      <c r="A372" s="1">
        <v>15</v>
      </c>
      <c r="B372" s="2" t="s">
        <v>368</v>
      </c>
      <c r="C372" s="3">
        <v>63</v>
      </c>
      <c r="D372" s="3"/>
      <c r="E372" s="3">
        <v>1</v>
      </c>
      <c r="F372" s="3">
        <f t="shared" si="45"/>
        <v>62</v>
      </c>
      <c r="G372" s="3">
        <v>100</v>
      </c>
      <c r="H372" s="3">
        <f t="shared" si="49"/>
        <v>-38</v>
      </c>
      <c r="I372" s="21">
        <f t="shared" si="50"/>
        <v>12.476547842401501</v>
      </c>
    </row>
    <row r="373" spans="1:9" ht="13.5">
      <c r="A373" s="1">
        <v>16</v>
      </c>
      <c r="B373" s="2" t="s">
        <v>369</v>
      </c>
      <c r="C373" s="3">
        <v>20</v>
      </c>
      <c r="D373" s="3"/>
      <c r="E373" s="3">
        <v>1</v>
      </c>
      <c r="F373" s="3">
        <f t="shared" si="45"/>
        <v>19</v>
      </c>
      <c r="G373" s="3">
        <v>23</v>
      </c>
      <c r="H373" s="3">
        <f t="shared" si="49"/>
        <v>-4</v>
      </c>
      <c r="I373" s="21">
        <f t="shared" si="50"/>
        <v>1.3133208255159474</v>
      </c>
    </row>
    <row r="374" spans="1:9" ht="13.5">
      <c r="A374" s="1">
        <v>17</v>
      </c>
      <c r="B374" s="2" t="s">
        <v>370</v>
      </c>
      <c r="C374" s="3">
        <v>3</v>
      </c>
      <c r="D374" s="3">
        <v>1</v>
      </c>
      <c r="E374" s="3"/>
      <c r="F374" s="3">
        <f t="shared" si="45"/>
        <v>2</v>
      </c>
      <c r="G374" s="3">
        <v>119</v>
      </c>
      <c r="H374" s="3">
        <f t="shared" si="49"/>
        <v>-117</v>
      </c>
      <c r="I374" s="21">
        <f t="shared" si="50"/>
        <v>38.41463414634146</v>
      </c>
    </row>
    <row r="375" spans="1:9" ht="13.5">
      <c r="A375" s="1">
        <v>18</v>
      </c>
      <c r="B375" s="2" t="s">
        <v>371</v>
      </c>
      <c r="C375" s="3">
        <v>166</v>
      </c>
      <c r="D375" s="3">
        <v>3</v>
      </c>
      <c r="E375" s="3">
        <v>6</v>
      </c>
      <c r="F375" s="3">
        <f t="shared" si="45"/>
        <v>157</v>
      </c>
      <c r="G375" s="3">
        <v>157</v>
      </c>
      <c r="H375" s="3">
        <v>0</v>
      </c>
      <c r="I375" s="21">
        <f t="shared" si="50"/>
        <v>0</v>
      </c>
    </row>
    <row r="376" spans="1:9" ht="13.5">
      <c r="A376" s="1">
        <v>19</v>
      </c>
      <c r="B376" s="2" t="s">
        <v>372</v>
      </c>
      <c r="C376" s="3">
        <v>70</v>
      </c>
      <c r="D376" s="3">
        <v>2</v>
      </c>
      <c r="E376" s="3"/>
      <c r="F376" s="3">
        <f t="shared" si="45"/>
        <v>68</v>
      </c>
      <c r="G376" s="3">
        <v>202</v>
      </c>
      <c r="H376" s="3">
        <f t="shared" si="49"/>
        <v>-134</v>
      </c>
      <c r="I376" s="21">
        <f t="shared" si="50"/>
        <v>43.996247654784234</v>
      </c>
    </row>
    <row r="377" spans="1:9" ht="13.5">
      <c r="A377" s="1">
        <v>20</v>
      </c>
      <c r="B377" s="2" t="s">
        <v>373</v>
      </c>
      <c r="C377" s="3">
        <v>65</v>
      </c>
      <c r="D377" s="3"/>
      <c r="E377" s="3">
        <v>2</v>
      </c>
      <c r="F377" s="3">
        <f t="shared" si="45"/>
        <v>63</v>
      </c>
      <c r="G377" s="3">
        <v>84</v>
      </c>
      <c r="H377" s="3">
        <f t="shared" si="49"/>
        <v>-21</v>
      </c>
      <c r="I377" s="21">
        <f t="shared" si="50"/>
        <v>6.894934333958725</v>
      </c>
    </row>
    <row r="378" spans="1:9" ht="13.5">
      <c r="A378" s="1">
        <v>21</v>
      </c>
      <c r="B378" s="2" t="s">
        <v>374</v>
      </c>
      <c r="C378" s="3">
        <v>51</v>
      </c>
      <c r="D378" s="3"/>
      <c r="E378" s="3"/>
      <c r="F378" s="3">
        <f t="shared" si="45"/>
        <v>51</v>
      </c>
      <c r="G378" s="3">
        <v>52</v>
      </c>
      <c r="H378" s="3">
        <f t="shared" si="49"/>
        <v>-1</v>
      </c>
      <c r="I378" s="21">
        <f t="shared" si="50"/>
        <v>0.32833020637898686</v>
      </c>
    </row>
    <row r="379" spans="1:9" ht="13.5">
      <c r="A379" s="1">
        <v>22</v>
      </c>
      <c r="B379" s="2" t="s">
        <v>375</v>
      </c>
      <c r="C379" s="3">
        <v>1</v>
      </c>
      <c r="D379" s="3"/>
      <c r="E379" s="3"/>
      <c r="F379" s="3">
        <f t="shared" si="45"/>
        <v>1</v>
      </c>
      <c r="G379" s="3">
        <v>1</v>
      </c>
      <c r="H379" s="3">
        <f t="shared" si="49"/>
        <v>0</v>
      </c>
      <c r="I379" s="21">
        <f t="shared" si="50"/>
        <v>0</v>
      </c>
    </row>
    <row r="380" spans="1:9" ht="13.5">
      <c r="A380" s="1">
        <v>23</v>
      </c>
      <c r="B380" s="2" t="s">
        <v>376</v>
      </c>
      <c r="C380" s="3"/>
      <c r="D380" s="3"/>
      <c r="E380" s="3"/>
      <c r="F380" s="3">
        <f t="shared" si="45"/>
        <v>0</v>
      </c>
      <c r="G380" s="3"/>
      <c r="H380" s="3">
        <f t="shared" si="49"/>
        <v>0</v>
      </c>
      <c r="I380" s="21">
        <f t="shared" si="50"/>
        <v>0</v>
      </c>
    </row>
    <row r="381" spans="1:9" ht="13.5">
      <c r="A381" s="1">
        <v>24</v>
      </c>
      <c r="B381" s="2" t="s">
        <v>377</v>
      </c>
      <c r="C381" s="3"/>
      <c r="D381" s="3"/>
      <c r="E381" s="3"/>
      <c r="F381" s="3">
        <f t="shared" si="45"/>
        <v>0</v>
      </c>
      <c r="G381" s="3"/>
      <c r="H381" s="3">
        <f t="shared" si="49"/>
        <v>0</v>
      </c>
      <c r="I381" s="21">
        <f t="shared" si="50"/>
        <v>0</v>
      </c>
    </row>
    <row r="382" spans="1:9" ht="13.5">
      <c r="A382" s="1">
        <v>25</v>
      </c>
      <c r="B382" s="2" t="s">
        <v>378</v>
      </c>
      <c r="C382" s="3"/>
      <c r="D382" s="3"/>
      <c r="E382" s="3"/>
      <c r="F382" s="3">
        <f t="shared" si="45"/>
        <v>0</v>
      </c>
      <c r="G382" s="3"/>
      <c r="H382" s="3">
        <f t="shared" si="49"/>
        <v>0</v>
      </c>
      <c r="I382" s="21">
        <f t="shared" si="50"/>
        <v>0</v>
      </c>
    </row>
    <row r="383" spans="1:9" ht="13.5">
      <c r="A383" s="1">
        <v>26</v>
      </c>
      <c r="B383" s="2" t="s">
        <v>379</v>
      </c>
      <c r="C383" s="3">
        <v>670</v>
      </c>
      <c r="D383" s="3">
        <v>2</v>
      </c>
      <c r="E383" s="3">
        <v>6</v>
      </c>
      <c r="F383" s="3">
        <f t="shared" si="45"/>
        <v>662</v>
      </c>
      <c r="G383" s="3">
        <v>679</v>
      </c>
      <c r="H383" s="3">
        <f t="shared" si="49"/>
        <v>-17</v>
      </c>
      <c r="I383" s="21">
        <f t="shared" si="50"/>
        <v>5.581613508442777</v>
      </c>
    </row>
    <row r="384" spans="1:9" ht="13.5">
      <c r="A384" s="1">
        <v>27</v>
      </c>
      <c r="B384" s="2" t="s">
        <v>380</v>
      </c>
      <c r="C384" s="3">
        <v>251</v>
      </c>
      <c r="D384" s="3"/>
      <c r="E384" s="3">
        <v>5</v>
      </c>
      <c r="F384" s="3">
        <f t="shared" si="45"/>
        <v>246</v>
      </c>
      <c r="G384" s="3">
        <v>283</v>
      </c>
      <c r="H384" s="3">
        <f t="shared" si="49"/>
        <v>-37</v>
      </c>
      <c r="I384" s="21">
        <f t="shared" si="50"/>
        <v>12.148217636022514</v>
      </c>
    </row>
    <row r="385" spans="1:9" ht="13.5">
      <c r="A385" s="1">
        <v>28</v>
      </c>
      <c r="B385" s="2" t="s">
        <v>381</v>
      </c>
      <c r="C385" s="3">
        <v>197</v>
      </c>
      <c r="D385" s="3">
        <v>2</v>
      </c>
      <c r="E385" s="3">
        <v>5</v>
      </c>
      <c r="F385" s="3">
        <f t="shared" si="45"/>
        <v>190</v>
      </c>
      <c r="G385" s="3">
        <v>190</v>
      </c>
      <c r="H385" s="3">
        <f t="shared" si="49"/>
        <v>0</v>
      </c>
      <c r="I385" s="21">
        <f t="shared" si="50"/>
        <v>0</v>
      </c>
    </row>
    <row r="386" spans="1:9" ht="13.5">
      <c r="A386" s="14" t="s">
        <v>474</v>
      </c>
      <c r="B386" s="15" t="s">
        <v>382</v>
      </c>
      <c r="C386" s="16">
        <f>SUM(C387:C392)</f>
        <v>591</v>
      </c>
      <c r="D386" s="16">
        <f>SUM(D387:D392)</f>
        <v>2</v>
      </c>
      <c r="E386" s="16">
        <f>SUM(E387:E392)</f>
        <v>11</v>
      </c>
      <c r="F386" s="16">
        <f t="shared" si="45"/>
        <v>578</v>
      </c>
      <c r="G386" s="16">
        <f>SUM(G387:G392)</f>
        <v>903</v>
      </c>
      <c r="H386" s="16">
        <f>SUM(H387:H392)</f>
        <v>-325</v>
      </c>
      <c r="I386" s="23">
        <f>H386/-11502*3774</f>
        <v>106.6379760041732</v>
      </c>
    </row>
    <row r="387" spans="1:9" ht="13.5">
      <c r="A387" s="1">
        <v>1</v>
      </c>
      <c r="B387" s="2" t="s">
        <v>383</v>
      </c>
      <c r="C387" s="3"/>
      <c r="D387" s="3"/>
      <c r="E387" s="3"/>
      <c r="F387" s="3">
        <f t="shared" si="45"/>
        <v>0</v>
      </c>
      <c r="G387" s="3">
        <v>106</v>
      </c>
      <c r="H387" s="3">
        <f aca="true" t="shared" si="51" ref="H387:H392">F387-G387</f>
        <v>-106</v>
      </c>
      <c r="I387" s="21">
        <f aca="true" t="shared" si="52" ref="I387:I392">H387/-325*107</f>
        <v>34.89846153846153</v>
      </c>
    </row>
    <row r="388" spans="1:9" ht="13.5">
      <c r="A388" s="1">
        <v>2</v>
      </c>
      <c r="B388" s="2" t="s">
        <v>384</v>
      </c>
      <c r="C388" s="3">
        <v>100</v>
      </c>
      <c r="D388" s="3"/>
      <c r="E388" s="3"/>
      <c r="F388" s="3">
        <f t="shared" si="45"/>
        <v>100</v>
      </c>
      <c r="G388" s="3">
        <v>116</v>
      </c>
      <c r="H388" s="3">
        <f t="shared" si="51"/>
        <v>-16</v>
      </c>
      <c r="I388" s="21">
        <f t="shared" si="52"/>
        <v>5.2676923076923075</v>
      </c>
    </row>
    <row r="389" spans="1:9" ht="13.5">
      <c r="A389" s="1">
        <v>3</v>
      </c>
      <c r="B389" s="2" t="s">
        <v>385</v>
      </c>
      <c r="C389" s="3">
        <v>25</v>
      </c>
      <c r="D389" s="3"/>
      <c r="E389" s="3"/>
      <c r="F389" s="3">
        <f t="shared" si="45"/>
        <v>25</v>
      </c>
      <c r="G389" s="3">
        <v>228</v>
      </c>
      <c r="H389" s="3">
        <f t="shared" si="51"/>
        <v>-203</v>
      </c>
      <c r="I389" s="21">
        <f t="shared" si="52"/>
        <v>66.83384615384615</v>
      </c>
    </row>
    <row r="390" spans="1:9" ht="13.5">
      <c r="A390" s="1">
        <v>4</v>
      </c>
      <c r="B390" s="2" t="s">
        <v>386</v>
      </c>
      <c r="C390" s="3">
        <v>60</v>
      </c>
      <c r="D390" s="3"/>
      <c r="E390" s="3"/>
      <c r="F390" s="3">
        <f t="shared" si="45"/>
        <v>60</v>
      </c>
      <c r="G390" s="3">
        <v>60</v>
      </c>
      <c r="H390" s="3">
        <v>0</v>
      </c>
      <c r="I390" s="21">
        <f t="shared" si="52"/>
        <v>0</v>
      </c>
    </row>
    <row r="391" spans="1:9" ht="13.5">
      <c r="A391" s="1">
        <v>5</v>
      </c>
      <c r="B391" s="2" t="s">
        <v>387</v>
      </c>
      <c r="C391" s="3">
        <v>246</v>
      </c>
      <c r="D391" s="3"/>
      <c r="E391" s="3">
        <v>5</v>
      </c>
      <c r="F391" s="3">
        <f t="shared" si="45"/>
        <v>241</v>
      </c>
      <c r="G391" s="3">
        <v>241</v>
      </c>
      <c r="H391" s="3">
        <v>0</v>
      </c>
      <c r="I391" s="21">
        <f t="shared" si="52"/>
        <v>0</v>
      </c>
    </row>
    <row r="392" spans="1:9" ht="13.5">
      <c r="A392" s="1">
        <v>6</v>
      </c>
      <c r="B392" s="2" t="s">
        <v>388</v>
      </c>
      <c r="C392" s="3">
        <v>160</v>
      </c>
      <c r="D392" s="3">
        <v>2</v>
      </c>
      <c r="E392" s="3">
        <v>6</v>
      </c>
      <c r="F392" s="3">
        <f aca="true" t="shared" si="53" ref="F392:F442">C392-E392-D392</f>
        <v>152</v>
      </c>
      <c r="G392" s="3">
        <v>152</v>
      </c>
      <c r="H392" s="3">
        <f t="shared" si="51"/>
        <v>0</v>
      </c>
      <c r="I392" s="21">
        <f t="shared" si="52"/>
        <v>0</v>
      </c>
    </row>
    <row r="393" spans="1:9" ht="13.5">
      <c r="A393" s="14" t="s">
        <v>475</v>
      </c>
      <c r="B393" s="15" t="s">
        <v>389</v>
      </c>
      <c r="C393" s="16">
        <f>SUM(C394:C398)</f>
        <v>319</v>
      </c>
      <c r="D393" s="16">
        <f>SUM(D394:D398)</f>
        <v>4</v>
      </c>
      <c r="E393" s="16">
        <f>SUM(E394:E398)</f>
        <v>4</v>
      </c>
      <c r="F393" s="16">
        <f t="shared" si="53"/>
        <v>311</v>
      </c>
      <c r="G393" s="16">
        <f>SUM(G394:G398)</f>
        <v>317</v>
      </c>
      <c r="H393" s="16">
        <f>SUM(H394:H398)</f>
        <v>-6</v>
      </c>
      <c r="I393" s="23">
        <f>H393/-11502*3774</f>
        <v>1.9687010954616588</v>
      </c>
    </row>
    <row r="394" spans="1:9" ht="13.5">
      <c r="A394" s="1">
        <v>1</v>
      </c>
      <c r="B394" s="2" t="s">
        <v>390</v>
      </c>
      <c r="C394" s="3">
        <v>19</v>
      </c>
      <c r="D394" s="3"/>
      <c r="E394" s="3"/>
      <c r="F394" s="3">
        <f t="shared" si="53"/>
        <v>19</v>
      </c>
      <c r="G394" s="3">
        <v>25</v>
      </c>
      <c r="H394" s="3">
        <f>F394-G394</f>
        <v>-6</v>
      </c>
      <c r="I394" s="21">
        <f>H394/-6*2</f>
        <v>2</v>
      </c>
    </row>
    <row r="395" spans="1:9" ht="13.5">
      <c r="A395" s="1">
        <v>2</v>
      </c>
      <c r="B395" s="2" t="s">
        <v>391</v>
      </c>
      <c r="C395" s="3">
        <v>65</v>
      </c>
      <c r="D395" s="3"/>
      <c r="E395" s="3">
        <v>1</v>
      </c>
      <c r="F395" s="3">
        <f t="shared" si="53"/>
        <v>64</v>
      </c>
      <c r="G395" s="3">
        <v>64</v>
      </c>
      <c r="H395" s="3">
        <v>0</v>
      </c>
      <c r="I395" s="21">
        <f>H395/-6*2</f>
        <v>0</v>
      </c>
    </row>
    <row r="396" spans="1:9" ht="13.5">
      <c r="A396" s="1">
        <v>3</v>
      </c>
      <c r="B396" s="2" t="s">
        <v>392</v>
      </c>
      <c r="C396" s="3">
        <v>1</v>
      </c>
      <c r="D396" s="3"/>
      <c r="E396" s="3"/>
      <c r="F396" s="3">
        <f t="shared" si="53"/>
        <v>1</v>
      </c>
      <c r="G396" s="3">
        <v>1</v>
      </c>
      <c r="H396" s="3">
        <f>F396-G396</f>
        <v>0</v>
      </c>
      <c r="I396" s="21">
        <f>H396/-6*2</f>
        <v>0</v>
      </c>
    </row>
    <row r="397" spans="1:9" ht="13.5">
      <c r="A397" s="1">
        <v>4</v>
      </c>
      <c r="B397" s="2" t="s">
        <v>393</v>
      </c>
      <c r="C397" s="3">
        <v>1</v>
      </c>
      <c r="D397" s="3"/>
      <c r="E397" s="3"/>
      <c r="F397" s="3">
        <f t="shared" si="53"/>
        <v>1</v>
      </c>
      <c r="G397" s="3">
        <v>1</v>
      </c>
      <c r="H397" s="3">
        <f>F397-G397</f>
        <v>0</v>
      </c>
      <c r="I397" s="21">
        <f>H397/-6*2</f>
        <v>0</v>
      </c>
    </row>
    <row r="398" spans="1:9" ht="13.5">
      <c r="A398" s="1">
        <v>5</v>
      </c>
      <c r="B398" s="2" t="s">
        <v>394</v>
      </c>
      <c r="C398" s="3">
        <v>233</v>
      </c>
      <c r="D398" s="3">
        <v>4</v>
      </c>
      <c r="E398" s="3">
        <v>3</v>
      </c>
      <c r="F398" s="3">
        <f t="shared" si="53"/>
        <v>226</v>
      </c>
      <c r="G398" s="3">
        <v>226</v>
      </c>
      <c r="H398" s="3">
        <f>F398-G398</f>
        <v>0</v>
      </c>
      <c r="I398" s="21">
        <f>H398/-6*2</f>
        <v>0</v>
      </c>
    </row>
    <row r="399" spans="1:9" ht="13.5">
      <c r="A399" s="14" t="s">
        <v>476</v>
      </c>
      <c r="B399" s="15" t="s">
        <v>395</v>
      </c>
      <c r="C399" s="16">
        <f>SUM(C400:C404)</f>
        <v>465</v>
      </c>
      <c r="D399" s="16">
        <f>SUM(D400:D404)</f>
        <v>1</v>
      </c>
      <c r="E399" s="16">
        <f>SUM(E400:E404)</f>
        <v>10</v>
      </c>
      <c r="F399" s="16">
        <f t="shared" si="53"/>
        <v>454</v>
      </c>
      <c r="G399" s="16">
        <f>SUM(G400:G404)</f>
        <v>608</v>
      </c>
      <c r="H399" s="16">
        <f>SUM(H400:H404)</f>
        <v>-154</v>
      </c>
      <c r="I399" s="23">
        <f>H399/-11502*3774</f>
        <v>50.52999478351591</v>
      </c>
    </row>
    <row r="400" spans="1:9" ht="13.5">
      <c r="A400" s="1">
        <v>1</v>
      </c>
      <c r="B400" s="2" t="s">
        <v>396</v>
      </c>
      <c r="C400" s="3">
        <v>41</v>
      </c>
      <c r="D400" s="3"/>
      <c r="E400" s="3"/>
      <c r="F400" s="3">
        <f t="shared" si="53"/>
        <v>41</v>
      </c>
      <c r="G400" s="3">
        <v>41</v>
      </c>
      <c r="H400" s="3">
        <v>0</v>
      </c>
      <c r="I400" s="21">
        <f>H400/-154*57</f>
        <v>0</v>
      </c>
    </row>
    <row r="401" spans="1:9" ht="13.5">
      <c r="A401" s="1">
        <v>2</v>
      </c>
      <c r="B401" s="2" t="s">
        <v>397</v>
      </c>
      <c r="C401" s="3">
        <v>53</v>
      </c>
      <c r="D401" s="3"/>
      <c r="E401" s="3">
        <v>1</v>
      </c>
      <c r="F401" s="3">
        <f t="shared" si="53"/>
        <v>52</v>
      </c>
      <c r="G401" s="3">
        <v>52</v>
      </c>
      <c r="H401" s="3">
        <v>0</v>
      </c>
      <c r="I401" s="21">
        <f>H401/-154*57</f>
        <v>0</v>
      </c>
    </row>
    <row r="402" spans="1:9" ht="13.5">
      <c r="A402" s="1">
        <v>3</v>
      </c>
      <c r="B402" s="2" t="s">
        <v>398</v>
      </c>
      <c r="C402" s="3">
        <v>15</v>
      </c>
      <c r="D402" s="3"/>
      <c r="E402" s="3"/>
      <c r="F402" s="3">
        <f t="shared" si="53"/>
        <v>15</v>
      </c>
      <c r="G402" s="3">
        <v>15</v>
      </c>
      <c r="H402" s="3">
        <f>F402-G402</f>
        <v>0</v>
      </c>
      <c r="I402" s="21">
        <f>H402/-154*57</f>
        <v>0</v>
      </c>
    </row>
    <row r="403" spans="1:9" ht="13.5">
      <c r="A403" s="1">
        <v>4</v>
      </c>
      <c r="B403" s="2" t="s">
        <v>399</v>
      </c>
      <c r="C403" s="3">
        <v>39</v>
      </c>
      <c r="D403" s="3"/>
      <c r="E403" s="3">
        <v>2</v>
      </c>
      <c r="F403" s="3">
        <f t="shared" si="53"/>
        <v>37</v>
      </c>
      <c r="G403" s="3">
        <v>37</v>
      </c>
      <c r="H403" s="3">
        <f>F403-G403</f>
        <v>0</v>
      </c>
      <c r="I403" s="21">
        <f>H403/-154*57</f>
        <v>0</v>
      </c>
    </row>
    <row r="404" spans="1:9" ht="13.5">
      <c r="A404" s="1">
        <v>5</v>
      </c>
      <c r="B404" s="2" t="s">
        <v>400</v>
      </c>
      <c r="C404" s="3">
        <v>317</v>
      </c>
      <c r="D404" s="3">
        <v>1</v>
      </c>
      <c r="E404" s="3">
        <v>7</v>
      </c>
      <c r="F404" s="3">
        <f t="shared" si="53"/>
        <v>309</v>
      </c>
      <c r="G404" s="3">
        <v>463</v>
      </c>
      <c r="H404" s="3">
        <f>F404-G404</f>
        <v>-154</v>
      </c>
      <c r="I404" s="21">
        <f>H404/-154*51</f>
        <v>51</v>
      </c>
    </row>
    <row r="405" spans="1:9" ht="13.5">
      <c r="A405" s="14" t="s">
        <v>477</v>
      </c>
      <c r="B405" s="15" t="s">
        <v>401</v>
      </c>
      <c r="C405" s="16">
        <f>SUM(C406:C433)</f>
        <v>575</v>
      </c>
      <c r="D405" s="16">
        <f>SUM(D406:D433)</f>
        <v>0</v>
      </c>
      <c r="E405" s="16">
        <f>SUM(E406:E433)</f>
        <v>6</v>
      </c>
      <c r="F405" s="16">
        <f t="shared" si="53"/>
        <v>569</v>
      </c>
      <c r="G405" s="16">
        <f>SUM(G406:G433)</f>
        <v>1136</v>
      </c>
      <c r="H405" s="16">
        <f>SUM(H406:H433)</f>
        <v>-567</v>
      </c>
      <c r="I405" s="23">
        <f>H405/-11502*3774</f>
        <v>186.04225352112675</v>
      </c>
    </row>
    <row r="406" spans="1:9" ht="13.5">
      <c r="A406" s="1">
        <v>1</v>
      </c>
      <c r="B406" s="2" t="s">
        <v>402</v>
      </c>
      <c r="C406" s="4">
        <v>66</v>
      </c>
      <c r="D406" s="4"/>
      <c r="E406" s="4">
        <v>1</v>
      </c>
      <c r="F406" s="4">
        <f t="shared" si="53"/>
        <v>65</v>
      </c>
      <c r="G406" s="18">
        <v>128</v>
      </c>
      <c r="H406" s="3">
        <f aca="true" t="shared" si="54" ref="H406:H433">F406-G406</f>
        <v>-63</v>
      </c>
      <c r="I406" s="21">
        <f>H406/-567*186</f>
        <v>20.666666666666664</v>
      </c>
    </row>
    <row r="407" spans="1:9" ht="13.5">
      <c r="A407" s="1">
        <v>2</v>
      </c>
      <c r="B407" s="2" t="s">
        <v>403</v>
      </c>
      <c r="C407" s="3">
        <v>10</v>
      </c>
      <c r="D407" s="3"/>
      <c r="E407" s="3"/>
      <c r="F407" s="3">
        <f t="shared" si="53"/>
        <v>10</v>
      </c>
      <c r="G407" s="18">
        <v>10</v>
      </c>
      <c r="H407" s="3">
        <f t="shared" si="54"/>
        <v>0</v>
      </c>
      <c r="I407" s="21">
        <f aca="true" t="shared" si="55" ref="I407:I433">H407/-567*186</f>
        <v>0</v>
      </c>
    </row>
    <row r="408" spans="1:9" ht="13.5">
      <c r="A408" s="1">
        <v>3</v>
      </c>
      <c r="B408" s="2" t="s">
        <v>404</v>
      </c>
      <c r="C408" s="3">
        <v>42</v>
      </c>
      <c r="D408" s="3"/>
      <c r="E408" s="3"/>
      <c r="F408" s="3">
        <f t="shared" si="53"/>
        <v>42</v>
      </c>
      <c r="G408" s="18">
        <v>52</v>
      </c>
      <c r="H408" s="3">
        <f t="shared" si="54"/>
        <v>-10</v>
      </c>
      <c r="I408" s="21">
        <f t="shared" si="55"/>
        <v>3.28042328042328</v>
      </c>
    </row>
    <row r="409" spans="1:9" ht="13.5">
      <c r="A409" s="1">
        <v>4</v>
      </c>
      <c r="B409" s="2" t="s">
        <v>405</v>
      </c>
      <c r="C409" s="3">
        <v>39</v>
      </c>
      <c r="D409" s="3"/>
      <c r="E409" s="3"/>
      <c r="F409" s="3">
        <f t="shared" si="53"/>
        <v>39</v>
      </c>
      <c r="G409" s="18">
        <v>71</v>
      </c>
      <c r="H409" s="3">
        <f t="shared" si="54"/>
        <v>-32</v>
      </c>
      <c r="I409" s="21">
        <f t="shared" si="55"/>
        <v>10.497354497354497</v>
      </c>
    </row>
    <row r="410" spans="1:9" ht="13.5">
      <c r="A410" s="1">
        <v>5</v>
      </c>
      <c r="B410" s="2" t="s">
        <v>406</v>
      </c>
      <c r="C410" s="3">
        <v>10</v>
      </c>
      <c r="D410" s="3"/>
      <c r="E410" s="3"/>
      <c r="F410" s="3">
        <f t="shared" si="53"/>
        <v>10</v>
      </c>
      <c r="G410" s="18">
        <v>27</v>
      </c>
      <c r="H410" s="3">
        <f t="shared" si="54"/>
        <v>-17</v>
      </c>
      <c r="I410" s="21">
        <f t="shared" si="55"/>
        <v>5.576719576719577</v>
      </c>
    </row>
    <row r="411" spans="1:9" ht="13.5">
      <c r="A411" s="1">
        <v>6</v>
      </c>
      <c r="B411" s="2" t="s">
        <v>407</v>
      </c>
      <c r="C411" s="3">
        <v>2</v>
      </c>
      <c r="D411" s="3"/>
      <c r="E411" s="3"/>
      <c r="F411" s="3">
        <f t="shared" si="53"/>
        <v>2</v>
      </c>
      <c r="G411" s="18">
        <v>191</v>
      </c>
      <c r="H411" s="3">
        <f t="shared" si="54"/>
        <v>-189</v>
      </c>
      <c r="I411" s="21">
        <f t="shared" si="55"/>
        <v>62</v>
      </c>
    </row>
    <row r="412" spans="1:9" ht="13.5">
      <c r="A412" s="1">
        <v>7</v>
      </c>
      <c r="B412" s="2" t="s">
        <v>408</v>
      </c>
      <c r="C412" s="3">
        <v>65</v>
      </c>
      <c r="D412" s="3"/>
      <c r="E412" s="3"/>
      <c r="F412" s="3">
        <f t="shared" si="53"/>
        <v>65</v>
      </c>
      <c r="G412" s="18">
        <v>67</v>
      </c>
      <c r="H412" s="3">
        <f t="shared" si="54"/>
        <v>-2</v>
      </c>
      <c r="I412" s="21">
        <f t="shared" si="55"/>
        <v>0.656084656084656</v>
      </c>
    </row>
    <row r="413" spans="1:9" ht="13.5">
      <c r="A413" s="1">
        <v>8</v>
      </c>
      <c r="B413" s="2" t="s">
        <v>409</v>
      </c>
      <c r="C413" s="3">
        <v>31</v>
      </c>
      <c r="D413" s="3"/>
      <c r="E413" s="3"/>
      <c r="F413" s="3">
        <f t="shared" si="53"/>
        <v>31</v>
      </c>
      <c r="G413" s="18">
        <v>38</v>
      </c>
      <c r="H413" s="3">
        <f t="shared" si="54"/>
        <v>-7</v>
      </c>
      <c r="I413" s="21">
        <f t="shared" si="55"/>
        <v>2.2962962962962963</v>
      </c>
    </row>
    <row r="414" spans="1:9" ht="13.5">
      <c r="A414" s="1">
        <v>9</v>
      </c>
      <c r="B414" s="2" t="s">
        <v>410</v>
      </c>
      <c r="C414" s="3">
        <v>42</v>
      </c>
      <c r="D414" s="3"/>
      <c r="E414" s="3"/>
      <c r="F414" s="3">
        <f t="shared" si="53"/>
        <v>42</v>
      </c>
      <c r="G414" s="18">
        <v>51</v>
      </c>
      <c r="H414" s="3">
        <f t="shared" si="54"/>
        <v>-9</v>
      </c>
      <c r="I414" s="21">
        <f t="shared" si="55"/>
        <v>2.952380952380952</v>
      </c>
    </row>
    <row r="415" spans="1:9" ht="13.5">
      <c r="A415" s="1">
        <v>10</v>
      </c>
      <c r="B415" s="2" t="s">
        <v>411</v>
      </c>
      <c r="C415" s="3"/>
      <c r="D415" s="3"/>
      <c r="E415" s="3"/>
      <c r="F415" s="3">
        <f t="shared" si="53"/>
        <v>0</v>
      </c>
      <c r="G415" s="18">
        <v>123</v>
      </c>
      <c r="H415" s="3">
        <f t="shared" si="54"/>
        <v>-123</v>
      </c>
      <c r="I415" s="21">
        <f t="shared" si="55"/>
        <v>40.34920634920635</v>
      </c>
    </row>
    <row r="416" spans="1:9" ht="13.5">
      <c r="A416" s="1">
        <v>11</v>
      </c>
      <c r="B416" s="2" t="s">
        <v>412</v>
      </c>
      <c r="C416" s="3"/>
      <c r="D416" s="3"/>
      <c r="E416" s="3"/>
      <c r="F416" s="3">
        <f t="shared" si="53"/>
        <v>0</v>
      </c>
      <c r="G416" s="18">
        <v>0</v>
      </c>
      <c r="H416" s="3">
        <f t="shared" si="54"/>
        <v>0</v>
      </c>
      <c r="I416" s="21">
        <f t="shared" si="55"/>
        <v>0</v>
      </c>
    </row>
    <row r="417" spans="1:9" ht="13.5">
      <c r="A417" s="1">
        <v>12</v>
      </c>
      <c r="B417" s="2" t="s">
        <v>413</v>
      </c>
      <c r="C417" s="3">
        <v>6</v>
      </c>
      <c r="D417" s="3"/>
      <c r="E417" s="3"/>
      <c r="F417" s="3">
        <f t="shared" si="53"/>
        <v>6</v>
      </c>
      <c r="G417" s="18">
        <v>33</v>
      </c>
      <c r="H417" s="3">
        <f t="shared" si="54"/>
        <v>-27</v>
      </c>
      <c r="I417" s="21">
        <f t="shared" si="55"/>
        <v>8.857142857142856</v>
      </c>
    </row>
    <row r="418" spans="1:9" ht="13.5">
      <c r="A418" s="1">
        <v>13</v>
      </c>
      <c r="B418" s="2" t="s">
        <v>414</v>
      </c>
      <c r="C418" s="3"/>
      <c r="D418" s="3"/>
      <c r="E418" s="3"/>
      <c r="F418" s="3">
        <f t="shared" si="53"/>
        <v>0</v>
      </c>
      <c r="G418" s="3"/>
      <c r="H418" s="3">
        <f t="shared" si="54"/>
        <v>0</v>
      </c>
      <c r="I418" s="21">
        <f t="shared" si="55"/>
        <v>0</v>
      </c>
    </row>
    <row r="419" spans="1:9" ht="13.5">
      <c r="A419" s="1">
        <v>14</v>
      </c>
      <c r="B419" s="2" t="s">
        <v>415</v>
      </c>
      <c r="C419" s="3"/>
      <c r="D419" s="3"/>
      <c r="E419" s="3"/>
      <c r="F419" s="3">
        <f t="shared" si="53"/>
        <v>0</v>
      </c>
      <c r="G419" s="3"/>
      <c r="H419" s="3">
        <f t="shared" si="54"/>
        <v>0</v>
      </c>
      <c r="I419" s="21">
        <f t="shared" si="55"/>
        <v>0</v>
      </c>
    </row>
    <row r="420" spans="1:9" ht="13.5">
      <c r="A420" s="1">
        <v>15</v>
      </c>
      <c r="B420" s="2" t="s">
        <v>416</v>
      </c>
      <c r="C420" s="3"/>
      <c r="D420" s="3"/>
      <c r="E420" s="3"/>
      <c r="F420" s="3">
        <f t="shared" si="53"/>
        <v>0</v>
      </c>
      <c r="G420" s="3"/>
      <c r="H420" s="3">
        <f t="shared" si="54"/>
        <v>0</v>
      </c>
      <c r="I420" s="21">
        <f t="shared" si="55"/>
        <v>0</v>
      </c>
    </row>
    <row r="421" spans="1:9" ht="13.5">
      <c r="A421" s="1">
        <v>16</v>
      </c>
      <c r="B421" s="2" t="s">
        <v>417</v>
      </c>
      <c r="C421" s="3"/>
      <c r="D421" s="3"/>
      <c r="E421" s="3"/>
      <c r="F421" s="3">
        <f t="shared" si="53"/>
        <v>0</v>
      </c>
      <c r="G421" s="3"/>
      <c r="H421" s="3">
        <f t="shared" si="54"/>
        <v>0</v>
      </c>
      <c r="I421" s="21">
        <f t="shared" si="55"/>
        <v>0</v>
      </c>
    </row>
    <row r="422" spans="1:9" ht="13.5">
      <c r="A422" s="1">
        <v>17</v>
      </c>
      <c r="B422" s="2" t="s">
        <v>418</v>
      </c>
      <c r="C422" s="3"/>
      <c r="D422" s="3"/>
      <c r="E422" s="3"/>
      <c r="F422" s="3">
        <f t="shared" si="53"/>
        <v>0</v>
      </c>
      <c r="G422" s="3"/>
      <c r="H422" s="3">
        <f t="shared" si="54"/>
        <v>0</v>
      </c>
      <c r="I422" s="21">
        <f t="shared" si="55"/>
        <v>0</v>
      </c>
    </row>
    <row r="423" spans="1:9" ht="13.5">
      <c r="A423" s="1">
        <v>18</v>
      </c>
      <c r="B423" s="2" t="s">
        <v>419</v>
      </c>
      <c r="C423" s="3"/>
      <c r="D423" s="3"/>
      <c r="E423" s="3"/>
      <c r="F423" s="3">
        <f t="shared" si="53"/>
        <v>0</v>
      </c>
      <c r="G423" s="3"/>
      <c r="H423" s="3">
        <f t="shared" si="54"/>
        <v>0</v>
      </c>
      <c r="I423" s="21">
        <f t="shared" si="55"/>
        <v>0</v>
      </c>
    </row>
    <row r="424" spans="1:9" ht="13.5">
      <c r="A424" s="1">
        <v>19</v>
      </c>
      <c r="B424" s="2" t="s">
        <v>420</v>
      </c>
      <c r="C424" s="3"/>
      <c r="D424" s="3"/>
      <c r="E424" s="3"/>
      <c r="F424" s="3">
        <f t="shared" si="53"/>
        <v>0</v>
      </c>
      <c r="G424" s="3"/>
      <c r="H424" s="3">
        <f t="shared" si="54"/>
        <v>0</v>
      </c>
      <c r="I424" s="21">
        <f t="shared" si="55"/>
        <v>0</v>
      </c>
    </row>
    <row r="425" spans="1:9" ht="13.5">
      <c r="A425" s="1">
        <v>20</v>
      </c>
      <c r="B425" s="2" t="s">
        <v>421</v>
      </c>
      <c r="C425" s="3"/>
      <c r="D425" s="3"/>
      <c r="E425" s="3"/>
      <c r="F425" s="3">
        <f t="shared" si="53"/>
        <v>0</v>
      </c>
      <c r="G425" s="3"/>
      <c r="H425" s="3">
        <f t="shared" si="54"/>
        <v>0</v>
      </c>
      <c r="I425" s="21">
        <f t="shared" si="55"/>
        <v>0</v>
      </c>
    </row>
    <row r="426" spans="1:9" ht="13.5">
      <c r="A426" s="1">
        <v>21</v>
      </c>
      <c r="B426" s="2" t="s">
        <v>422</v>
      </c>
      <c r="C426" s="3"/>
      <c r="D426" s="3"/>
      <c r="E426" s="3"/>
      <c r="F426" s="3">
        <f t="shared" si="53"/>
        <v>0</v>
      </c>
      <c r="G426" s="3"/>
      <c r="H426" s="3">
        <f t="shared" si="54"/>
        <v>0</v>
      </c>
      <c r="I426" s="21">
        <f t="shared" si="55"/>
        <v>0</v>
      </c>
    </row>
    <row r="427" spans="1:9" ht="13.5">
      <c r="A427" s="1">
        <v>22</v>
      </c>
      <c r="B427" s="2" t="s">
        <v>423</v>
      </c>
      <c r="C427" s="3"/>
      <c r="D427" s="3"/>
      <c r="E427" s="3"/>
      <c r="F427" s="3">
        <f t="shared" si="53"/>
        <v>0</v>
      </c>
      <c r="G427" s="3"/>
      <c r="H427" s="3">
        <f t="shared" si="54"/>
        <v>0</v>
      </c>
      <c r="I427" s="21">
        <f t="shared" si="55"/>
        <v>0</v>
      </c>
    </row>
    <row r="428" spans="1:9" ht="13.5">
      <c r="A428" s="1">
        <v>23</v>
      </c>
      <c r="B428" s="2" t="s">
        <v>424</v>
      </c>
      <c r="C428" s="3"/>
      <c r="D428" s="3"/>
      <c r="E428" s="3"/>
      <c r="F428" s="3">
        <f t="shared" si="53"/>
        <v>0</v>
      </c>
      <c r="G428" s="3"/>
      <c r="H428" s="3">
        <f t="shared" si="54"/>
        <v>0</v>
      </c>
      <c r="I428" s="21">
        <f t="shared" si="55"/>
        <v>0</v>
      </c>
    </row>
    <row r="429" spans="1:9" ht="13.5">
      <c r="A429" s="1">
        <v>24</v>
      </c>
      <c r="B429" s="2" t="s">
        <v>425</v>
      </c>
      <c r="C429" s="3"/>
      <c r="D429" s="3"/>
      <c r="E429" s="3"/>
      <c r="F429" s="3">
        <f t="shared" si="53"/>
        <v>0</v>
      </c>
      <c r="G429" s="3"/>
      <c r="H429" s="3">
        <f t="shared" si="54"/>
        <v>0</v>
      </c>
      <c r="I429" s="21">
        <f t="shared" si="55"/>
        <v>0</v>
      </c>
    </row>
    <row r="430" spans="1:9" ht="13.5">
      <c r="A430" s="1">
        <v>25</v>
      </c>
      <c r="B430" s="2" t="s">
        <v>426</v>
      </c>
      <c r="C430" s="3"/>
      <c r="D430" s="3"/>
      <c r="E430" s="3"/>
      <c r="F430" s="3">
        <f t="shared" si="53"/>
        <v>0</v>
      </c>
      <c r="G430" s="3"/>
      <c r="H430" s="3">
        <f t="shared" si="54"/>
        <v>0</v>
      </c>
      <c r="I430" s="21">
        <f t="shared" si="55"/>
        <v>0</v>
      </c>
    </row>
    <row r="431" spans="1:9" ht="13.5">
      <c r="A431" s="1">
        <v>26</v>
      </c>
      <c r="B431" s="2" t="s">
        <v>427</v>
      </c>
      <c r="C431" s="3"/>
      <c r="D431" s="3"/>
      <c r="E431" s="3"/>
      <c r="F431" s="3">
        <f t="shared" si="53"/>
        <v>0</v>
      </c>
      <c r="G431" s="3"/>
      <c r="H431" s="3">
        <f t="shared" si="54"/>
        <v>0</v>
      </c>
      <c r="I431" s="21">
        <f t="shared" si="55"/>
        <v>0</v>
      </c>
    </row>
    <row r="432" spans="1:9" ht="13.5">
      <c r="A432" s="1">
        <v>27</v>
      </c>
      <c r="B432" s="2" t="s">
        <v>428</v>
      </c>
      <c r="C432" s="3">
        <v>149</v>
      </c>
      <c r="D432" s="3"/>
      <c r="E432" s="3">
        <v>2</v>
      </c>
      <c r="F432" s="3">
        <f t="shared" si="53"/>
        <v>147</v>
      </c>
      <c r="G432" s="3">
        <v>166</v>
      </c>
      <c r="H432" s="3">
        <f t="shared" si="54"/>
        <v>-19</v>
      </c>
      <c r="I432" s="21">
        <f t="shared" si="55"/>
        <v>6.232804232804233</v>
      </c>
    </row>
    <row r="433" spans="1:9" ht="13.5">
      <c r="A433" s="1">
        <v>28</v>
      </c>
      <c r="B433" s="2" t="s">
        <v>429</v>
      </c>
      <c r="C433" s="3">
        <v>113</v>
      </c>
      <c r="D433" s="3"/>
      <c r="E433" s="3">
        <v>3</v>
      </c>
      <c r="F433" s="3">
        <f t="shared" si="53"/>
        <v>110</v>
      </c>
      <c r="G433" s="3">
        <v>179</v>
      </c>
      <c r="H433" s="3">
        <f t="shared" si="54"/>
        <v>-69</v>
      </c>
      <c r="I433" s="21">
        <f t="shared" si="55"/>
        <v>22.634920634920633</v>
      </c>
    </row>
    <row r="434" spans="1:9" ht="13.5">
      <c r="A434" s="14" t="s">
        <v>478</v>
      </c>
      <c r="B434" s="15" t="s">
        <v>430</v>
      </c>
      <c r="C434" s="16">
        <f>SUM(C435:C442)</f>
        <v>148</v>
      </c>
      <c r="D434" s="16">
        <f>SUM(D435:D442)</f>
        <v>0</v>
      </c>
      <c r="E434" s="16">
        <f>SUM(E435:E442)</f>
        <v>0</v>
      </c>
      <c r="F434" s="16">
        <f t="shared" si="53"/>
        <v>148</v>
      </c>
      <c r="G434" s="16">
        <f>SUM(G435:G442)</f>
        <v>202</v>
      </c>
      <c r="H434" s="16">
        <f>SUM(H435:H442)</f>
        <v>-54</v>
      </c>
      <c r="I434" s="23">
        <f>H434/-11502*3774</f>
        <v>17.71830985915493</v>
      </c>
    </row>
    <row r="435" spans="1:9" ht="13.5">
      <c r="A435" s="1">
        <v>1</v>
      </c>
      <c r="B435" s="2" t="s">
        <v>431</v>
      </c>
      <c r="C435" s="3">
        <v>6</v>
      </c>
      <c r="D435" s="3"/>
      <c r="E435" s="3"/>
      <c r="F435" s="3">
        <f t="shared" si="53"/>
        <v>6</v>
      </c>
      <c r="G435" s="3">
        <v>6</v>
      </c>
      <c r="H435" s="3">
        <f aca="true" t="shared" si="56" ref="H435:H442">F435-G435</f>
        <v>0</v>
      </c>
      <c r="I435" s="21">
        <f>H435/-54*20</f>
        <v>0</v>
      </c>
    </row>
    <row r="436" spans="1:9" ht="13.5">
      <c r="A436" s="1">
        <v>2</v>
      </c>
      <c r="B436" s="2" t="s">
        <v>432</v>
      </c>
      <c r="C436" s="3">
        <v>26</v>
      </c>
      <c r="D436" s="3"/>
      <c r="E436" s="3"/>
      <c r="F436" s="3">
        <f t="shared" si="53"/>
        <v>26</v>
      </c>
      <c r="G436" s="3">
        <v>41</v>
      </c>
      <c r="H436" s="3">
        <f t="shared" si="56"/>
        <v>-15</v>
      </c>
      <c r="I436" s="21">
        <f aca="true" t="shared" si="57" ref="I436:I441">H436/-54*18</f>
        <v>5</v>
      </c>
    </row>
    <row r="437" spans="1:9" ht="13.5">
      <c r="A437" s="1">
        <v>3</v>
      </c>
      <c r="B437" s="2" t="s">
        <v>433</v>
      </c>
      <c r="C437" s="3"/>
      <c r="D437" s="3"/>
      <c r="E437" s="3"/>
      <c r="F437" s="3">
        <f t="shared" si="53"/>
        <v>0</v>
      </c>
      <c r="G437" s="3"/>
      <c r="H437" s="3">
        <f t="shared" si="56"/>
        <v>0</v>
      </c>
      <c r="I437" s="21">
        <f t="shared" si="57"/>
        <v>0</v>
      </c>
    </row>
    <row r="438" spans="1:9" ht="13.5">
      <c r="A438" s="1">
        <v>4</v>
      </c>
      <c r="B438" s="2" t="s">
        <v>434</v>
      </c>
      <c r="C438" s="3"/>
      <c r="D438" s="3"/>
      <c r="E438" s="3"/>
      <c r="F438" s="3">
        <f t="shared" si="53"/>
        <v>0</v>
      </c>
      <c r="G438" s="3"/>
      <c r="H438" s="3">
        <f t="shared" si="56"/>
        <v>0</v>
      </c>
      <c r="I438" s="21">
        <f t="shared" si="57"/>
        <v>0</v>
      </c>
    </row>
    <row r="439" spans="1:9" ht="13.5">
      <c r="A439" s="1">
        <v>5</v>
      </c>
      <c r="B439" s="2" t="s">
        <v>435</v>
      </c>
      <c r="C439" s="3"/>
      <c r="D439" s="3"/>
      <c r="E439" s="3"/>
      <c r="F439" s="3">
        <f t="shared" si="53"/>
        <v>0</v>
      </c>
      <c r="G439" s="3"/>
      <c r="H439" s="3">
        <f t="shared" si="56"/>
        <v>0</v>
      </c>
      <c r="I439" s="21">
        <f t="shared" si="57"/>
        <v>0</v>
      </c>
    </row>
    <row r="440" spans="1:9" ht="13.5">
      <c r="A440" s="1">
        <v>6</v>
      </c>
      <c r="B440" s="2" t="s">
        <v>436</v>
      </c>
      <c r="C440" s="3"/>
      <c r="D440" s="3"/>
      <c r="E440" s="3"/>
      <c r="F440" s="3">
        <f t="shared" si="53"/>
        <v>0</v>
      </c>
      <c r="G440" s="3"/>
      <c r="H440" s="3">
        <f t="shared" si="56"/>
        <v>0</v>
      </c>
      <c r="I440" s="21">
        <f t="shared" si="57"/>
        <v>0</v>
      </c>
    </row>
    <row r="441" spans="1:9" ht="13.5">
      <c r="A441" s="1">
        <v>7</v>
      </c>
      <c r="B441" s="2" t="s">
        <v>437</v>
      </c>
      <c r="C441" s="3">
        <v>114</v>
      </c>
      <c r="D441" s="3"/>
      <c r="E441" s="3"/>
      <c r="F441" s="3">
        <f t="shared" si="53"/>
        <v>114</v>
      </c>
      <c r="G441" s="3">
        <v>153</v>
      </c>
      <c r="H441" s="3">
        <f t="shared" si="56"/>
        <v>-39</v>
      </c>
      <c r="I441" s="21">
        <f t="shared" si="57"/>
        <v>13</v>
      </c>
    </row>
    <row r="442" spans="1:9" ht="13.5">
      <c r="A442" s="1">
        <v>8</v>
      </c>
      <c r="B442" s="2" t="s">
        <v>438</v>
      </c>
      <c r="C442" s="3">
        <v>2</v>
      </c>
      <c r="D442" s="3"/>
      <c r="E442" s="3"/>
      <c r="F442" s="3">
        <f t="shared" si="53"/>
        <v>2</v>
      </c>
      <c r="G442" s="3">
        <v>2</v>
      </c>
      <c r="H442" s="3">
        <f t="shared" si="56"/>
        <v>0</v>
      </c>
      <c r="I442" s="21">
        <f>H442/-54*20</f>
        <v>0</v>
      </c>
    </row>
    <row r="443" spans="1:9" ht="18" customHeight="1">
      <c r="A443" s="74" t="s">
        <v>2</v>
      </c>
      <c r="B443" s="74"/>
      <c r="C443" s="5">
        <f aca="true" t="shared" si="58" ref="C443:I443">C434+C405+C399+C393+C386+C357+C347+C339+C325+C311+C296+C285+C268+C259+C249+C242+C203+C197+C161+C135+C134+C128+C120+C109+C101+C89+C78+C66+C49+C28+C7</f>
        <v>42218</v>
      </c>
      <c r="D443" s="5">
        <f t="shared" si="58"/>
        <v>243</v>
      </c>
      <c r="E443" s="5">
        <f t="shared" si="58"/>
        <v>709</v>
      </c>
      <c r="F443" s="5">
        <f t="shared" si="58"/>
        <v>41266</v>
      </c>
      <c r="G443" s="5">
        <f t="shared" si="58"/>
        <v>52768</v>
      </c>
      <c r="H443" s="5">
        <f t="shared" si="58"/>
        <v>-11502</v>
      </c>
      <c r="I443" s="5">
        <f t="shared" si="58"/>
        <v>3774.000000000001</v>
      </c>
    </row>
    <row r="444" ht="12.75">
      <c r="H444" s="17"/>
    </row>
    <row r="445" ht="12.75">
      <c r="F445" s="42"/>
    </row>
  </sheetData>
  <mergeCells count="12">
    <mergeCell ref="E4:E6"/>
    <mergeCell ref="F4:F6"/>
    <mergeCell ref="A4:A6"/>
    <mergeCell ref="B4:B6"/>
    <mergeCell ref="A443:B443"/>
    <mergeCell ref="A1:I1"/>
    <mergeCell ref="A2:I2"/>
    <mergeCell ref="G4:G6"/>
    <mergeCell ref="H4:H6"/>
    <mergeCell ref="I4:I6"/>
    <mergeCell ref="C4:C6"/>
    <mergeCell ref="D4:D6"/>
  </mergeCells>
  <printOptions horizontalCentered="1"/>
  <pageMargins left="0.57" right="0.33" top="0.81" bottom="1.47" header="0.5" footer="1.24"/>
  <pageSetup horizontalDpi="600" verticalDpi="600" orientation="portrait" pageOrder="overThenDown" paperSize="14" r:id="rId1"/>
  <headerFooter alignWithMargins="0">
    <oddFooter>&amp;C&amp;"Arial Narrow,Regular"&amp;9&amp;P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I22"/>
  <sheetViews>
    <sheetView workbookViewId="0" topLeftCell="A1">
      <selection activeCell="E31" sqref="E31"/>
    </sheetView>
  </sheetViews>
  <sheetFormatPr defaultColWidth="9.140625" defaultRowHeight="12.75"/>
  <cols>
    <col min="1" max="1" width="4.8515625" style="0" customWidth="1"/>
    <col min="3" max="3" width="14.421875" style="0" customWidth="1"/>
    <col min="4" max="4" width="11.28125" style="0" bestFit="1" customWidth="1"/>
    <col min="5" max="5" width="12.28125" style="0" bestFit="1" customWidth="1"/>
    <col min="6" max="6" width="14.00390625" style="0" customWidth="1"/>
    <col min="7" max="7" width="14.28125" style="0" customWidth="1"/>
    <col min="8" max="8" width="12.28125" style="0" customWidth="1"/>
    <col min="9" max="9" width="12.28125" style="0" bestFit="1" customWidth="1"/>
  </cols>
  <sheetData>
    <row r="3" ht="13.5" thickBot="1"/>
    <row r="4" spans="1:9" ht="12.75">
      <c r="A4" s="79" t="s">
        <v>0</v>
      </c>
      <c r="B4" s="57" t="s">
        <v>498</v>
      </c>
      <c r="C4" s="59" t="s">
        <v>483</v>
      </c>
      <c r="D4" s="59" t="s">
        <v>447</v>
      </c>
      <c r="E4" s="59" t="s">
        <v>442</v>
      </c>
      <c r="F4" s="59" t="s">
        <v>443</v>
      </c>
      <c r="G4" s="59" t="s">
        <v>444</v>
      </c>
      <c r="H4" s="82" t="s">
        <v>503</v>
      </c>
      <c r="I4" s="84" t="s">
        <v>496</v>
      </c>
    </row>
    <row r="5" spans="1:9" ht="22.5" customHeight="1" thickBot="1">
      <c r="A5" s="80"/>
      <c r="B5" s="58"/>
      <c r="C5" s="81"/>
      <c r="D5" s="81"/>
      <c r="E5" s="81"/>
      <c r="F5" s="81"/>
      <c r="G5" s="81"/>
      <c r="H5" s="83"/>
      <c r="I5" s="85"/>
    </row>
    <row r="6" spans="1:9" ht="15" customHeight="1">
      <c r="A6" s="53">
        <v>1</v>
      </c>
      <c r="B6" s="53" t="s">
        <v>499</v>
      </c>
      <c r="C6" s="54">
        <v>993108</v>
      </c>
      <c r="D6" s="54">
        <v>3258</v>
      </c>
      <c r="E6" s="54">
        <v>8374</v>
      </c>
      <c r="F6" s="54">
        <v>981476</v>
      </c>
      <c r="G6" s="54">
        <v>1157682</v>
      </c>
      <c r="H6" s="54">
        <v>176206</v>
      </c>
      <c r="I6" s="54">
        <v>60700</v>
      </c>
    </row>
    <row r="7" spans="1:9" ht="15" customHeight="1">
      <c r="A7" s="51">
        <v>2</v>
      </c>
      <c r="B7" s="51" t="s">
        <v>500</v>
      </c>
      <c r="C7" s="52">
        <v>266378</v>
      </c>
      <c r="D7" s="52">
        <v>943</v>
      </c>
      <c r="E7" s="52">
        <v>2584</v>
      </c>
      <c r="F7" s="52">
        <v>262851</v>
      </c>
      <c r="G7" s="52">
        <v>291768</v>
      </c>
      <c r="H7" s="52">
        <v>45579</v>
      </c>
      <c r="I7" s="52">
        <v>13363</v>
      </c>
    </row>
    <row r="8" spans="1:9" ht="15" customHeight="1">
      <c r="A8" s="51">
        <v>3</v>
      </c>
      <c r="B8" s="51" t="s">
        <v>501</v>
      </c>
      <c r="C8" s="52">
        <v>121385</v>
      </c>
      <c r="D8" s="52">
        <v>434</v>
      </c>
      <c r="E8" s="52">
        <v>1036</v>
      </c>
      <c r="F8" s="52">
        <v>119915</v>
      </c>
      <c r="G8" s="52">
        <v>136719</v>
      </c>
      <c r="H8" s="52">
        <v>16804</v>
      </c>
      <c r="I8" s="52">
        <v>2819</v>
      </c>
    </row>
    <row r="9" spans="1:9" ht="15" customHeight="1">
      <c r="A9" s="51">
        <v>4</v>
      </c>
      <c r="B9" s="51" t="s">
        <v>502</v>
      </c>
      <c r="C9" s="52">
        <v>42218</v>
      </c>
      <c r="D9" s="52">
        <v>243</v>
      </c>
      <c r="E9" s="52">
        <v>709</v>
      </c>
      <c r="F9" s="52">
        <v>41266</v>
      </c>
      <c r="G9" s="52">
        <v>52768</v>
      </c>
      <c r="H9" s="52">
        <v>11502</v>
      </c>
      <c r="I9" s="52">
        <v>3774</v>
      </c>
    </row>
    <row r="10" spans="1:9" s="50" customFormat="1" ht="15" customHeight="1">
      <c r="A10" s="55"/>
      <c r="B10" s="55" t="s">
        <v>2</v>
      </c>
      <c r="C10" s="56">
        <f>SUM(C6:C9)</f>
        <v>1423089</v>
      </c>
      <c r="D10" s="56">
        <f aca="true" t="shared" si="0" ref="D10:I10">SUM(D6:D9)</f>
        <v>4878</v>
      </c>
      <c r="E10" s="56">
        <f t="shared" si="0"/>
        <v>12703</v>
      </c>
      <c r="F10" s="56">
        <f t="shared" si="0"/>
        <v>1405508</v>
      </c>
      <c r="G10" s="56">
        <f t="shared" si="0"/>
        <v>1638937</v>
      </c>
      <c r="H10" s="56">
        <f t="shared" si="0"/>
        <v>250091</v>
      </c>
      <c r="I10" s="56">
        <f t="shared" si="0"/>
        <v>80656</v>
      </c>
    </row>
    <row r="15" ht="13.5" thickBot="1"/>
    <row r="16" spans="1:9" ht="12.75">
      <c r="A16" s="79" t="s">
        <v>0</v>
      </c>
      <c r="B16" s="57" t="s">
        <v>498</v>
      </c>
      <c r="C16" s="59" t="s">
        <v>483</v>
      </c>
      <c r="D16" s="59" t="s">
        <v>447</v>
      </c>
      <c r="E16" s="59" t="s">
        <v>442</v>
      </c>
      <c r="F16" s="59" t="s">
        <v>443</v>
      </c>
      <c r="G16" s="59" t="s">
        <v>444</v>
      </c>
      <c r="H16" s="82" t="s">
        <v>503</v>
      </c>
      <c r="I16" s="84" t="s">
        <v>496</v>
      </c>
    </row>
    <row r="17" spans="1:9" ht="25.5" customHeight="1" thickBot="1">
      <c r="A17" s="80"/>
      <c r="B17" s="58"/>
      <c r="C17" s="81"/>
      <c r="D17" s="81"/>
      <c r="E17" s="81"/>
      <c r="F17" s="81"/>
      <c r="G17" s="81"/>
      <c r="H17" s="83"/>
      <c r="I17" s="85"/>
    </row>
    <row r="18" spans="1:9" ht="15" customHeight="1">
      <c r="A18" s="53">
        <v>1</v>
      </c>
      <c r="B18" s="53" t="s">
        <v>499</v>
      </c>
      <c r="C18" s="54">
        <v>993108</v>
      </c>
      <c r="D18" s="54">
        <v>3258</v>
      </c>
      <c r="E18" s="54">
        <v>8374</v>
      </c>
      <c r="F18" s="54">
        <v>981476</v>
      </c>
      <c r="G18" s="54">
        <v>1157682</v>
      </c>
      <c r="H18" s="54">
        <v>176206</v>
      </c>
      <c r="I18" s="54">
        <v>60700</v>
      </c>
    </row>
    <row r="19" spans="1:9" ht="15" customHeight="1">
      <c r="A19" s="51">
        <v>2</v>
      </c>
      <c r="B19" s="51" t="s">
        <v>500</v>
      </c>
      <c r="C19" s="52">
        <v>266378</v>
      </c>
      <c r="D19" s="52">
        <v>943</v>
      </c>
      <c r="E19" s="52">
        <v>2584</v>
      </c>
      <c r="F19" s="52">
        <v>262851</v>
      </c>
      <c r="G19" s="52">
        <v>291768</v>
      </c>
      <c r="H19" s="52">
        <v>45579</v>
      </c>
      <c r="I19" s="52">
        <v>13363</v>
      </c>
    </row>
    <row r="20" spans="1:9" ht="15" customHeight="1">
      <c r="A20" s="51">
        <v>3</v>
      </c>
      <c r="B20" s="51" t="s">
        <v>501</v>
      </c>
      <c r="C20" s="52">
        <v>121385</v>
      </c>
      <c r="D20" s="52">
        <v>434</v>
      </c>
      <c r="E20" s="52">
        <v>1036</v>
      </c>
      <c r="F20" s="52">
        <v>119915</v>
      </c>
      <c r="G20" s="52">
        <v>136719</v>
      </c>
      <c r="H20" s="52">
        <v>16804</v>
      </c>
      <c r="I20" s="52">
        <v>2819</v>
      </c>
    </row>
    <row r="21" spans="1:9" ht="15" customHeight="1">
      <c r="A21" s="51">
        <v>4</v>
      </c>
      <c r="B21" s="51" t="s">
        <v>502</v>
      </c>
      <c r="C21" s="52">
        <v>42218</v>
      </c>
      <c r="D21" s="52">
        <v>243</v>
      </c>
      <c r="E21" s="52">
        <v>709</v>
      </c>
      <c r="F21" s="52">
        <v>41266</v>
      </c>
      <c r="G21" s="52">
        <v>52768</v>
      </c>
      <c r="H21" s="52">
        <v>11502</v>
      </c>
      <c r="I21" s="52">
        <v>3774</v>
      </c>
    </row>
    <row r="22" spans="1:9" ht="15" customHeight="1">
      <c r="A22" s="55"/>
      <c r="B22" s="55" t="s">
        <v>2</v>
      </c>
      <c r="C22" s="56">
        <f aca="true" t="shared" si="1" ref="C22:I22">SUM(C18:C21)</f>
        <v>1423089</v>
      </c>
      <c r="D22" s="56">
        <f t="shared" si="1"/>
        <v>4878</v>
      </c>
      <c r="E22" s="56">
        <f t="shared" si="1"/>
        <v>12703</v>
      </c>
      <c r="F22" s="56">
        <f t="shared" si="1"/>
        <v>1405508</v>
      </c>
      <c r="G22" s="56">
        <f t="shared" si="1"/>
        <v>1638937</v>
      </c>
      <c r="H22" s="56">
        <f t="shared" si="1"/>
        <v>250091</v>
      </c>
      <c r="I22" s="56">
        <f t="shared" si="1"/>
        <v>80656</v>
      </c>
    </row>
  </sheetData>
  <mergeCells count="18">
    <mergeCell ref="I16:I17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C4:C5"/>
    <mergeCell ref="D4:D5"/>
    <mergeCell ref="E4:E5"/>
    <mergeCell ref="F4:F5"/>
    <mergeCell ref="A4:A5"/>
    <mergeCell ref="B4:B5"/>
    <mergeCell ref="G4:G5"/>
    <mergeCell ref="H4:H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Ditlahtapeg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Ditjen PMPTK</cp:lastModifiedBy>
  <cp:lastPrinted>2005-08-18T15:54:29Z</cp:lastPrinted>
  <dcterms:created xsi:type="dcterms:W3CDTF">2004-02-03T01:17:05Z</dcterms:created>
  <dcterms:modified xsi:type="dcterms:W3CDTF">2005-09-12T13:56:34Z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