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AG">'Sheet1'!$B$39</definedName>
    <definedName name="basic_disp">'Sheet1'!$B$40</definedName>
    <definedName name="End_spac">'Sheet1'!$B$21</definedName>
    <definedName name="Enter_f">'Sheet1'!$D$8</definedName>
    <definedName name="Enter_slots">'Sheet1'!$D$11</definedName>
    <definedName name="FGHz">'Sheet1'!$B$8</definedName>
    <definedName name="G_1">'Sheet1'!$B$32</definedName>
    <definedName name="G_2_slot">'Sheet1'!$G$31</definedName>
    <definedName name="G_slot">'Sheet1'!$B$31</definedName>
    <definedName name="lam_cutoff">'Sheet1'!$B$26</definedName>
    <definedName name="lam_guide">'Sheet1'!$B$27</definedName>
    <definedName name="lam_zero">'Sheet1'!$B$25</definedName>
    <definedName name="ndisp">'Sheet1'!$I$36</definedName>
    <definedName name="New_G1">'Sheet1'!$G$32</definedName>
    <definedName name="New_slot_disp">'Sheet1'!$G$36</definedName>
    <definedName name="New_slot_len">'Sheet1'!$G$44</definedName>
    <definedName name="New_slot_width">'Sheet1'!$I$19</definedName>
    <definedName name="New_Y">'Sheet1'!$G$33</definedName>
    <definedName name="Nslots">'Sheet1'!$B$11</definedName>
    <definedName name="Nslots_copy">'Sheet1'!$B$11</definedName>
    <definedName name="Slot_disp">'Sheet1'!$B$36</definedName>
    <definedName name="Slot_len">'Sheet1'!$B$18</definedName>
    <definedName name="Slot_spac">'Sheet1'!$B$20</definedName>
    <definedName name="Slot_width">'Sheet1'!$B$19</definedName>
    <definedName name="Slot_wl">'Sheet1'!$G$43</definedName>
    <definedName name="Sot_len">'Sheet1'!$B$18</definedName>
    <definedName name="threequartspac">'Sheet1'!$B$22</definedName>
    <definedName name="WG_a">'Sheet1'!$B$9</definedName>
    <definedName name="WG_a_inch">'Sheet1'!$D$9</definedName>
    <definedName name="WG_b">'Sheet1'!$B$10</definedName>
    <definedName name="WG_b_inch">'Sheet1'!$D$10</definedName>
    <definedName name="xx">'Sheet1'!$B$11</definedName>
    <definedName name="Y">'Sheet1'!$B$33</definedName>
  </definedNames>
  <calcPr fullCalcOnLoad="1"/>
</workbook>
</file>

<file path=xl/sharedStrings.xml><?xml version="1.0" encoding="utf-8"?>
<sst xmlns="http://schemas.openxmlformats.org/spreadsheetml/2006/main" count="92" uniqueCount="49">
  <si>
    <t>G1</t>
  </si>
  <si>
    <t>Y</t>
  </si>
  <si>
    <t>OFFSET</t>
  </si>
  <si>
    <t>AG</t>
  </si>
  <si>
    <t>Offset</t>
  </si>
  <si>
    <t>Length</t>
  </si>
  <si>
    <t>Width</t>
  </si>
  <si>
    <t>GHz</t>
  </si>
  <si>
    <t>mm</t>
  </si>
  <si>
    <t>inches</t>
  </si>
  <si>
    <t>inch</t>
  </si>
  <si>
    <t>total on two sides</t>
  </si>
  <si>
    <t>Gslot</t>
  </si>
  <si>
    <t>Parameter</t>
  </si>
  <si>
    <t>Metric</t>
  </si>
  <si>
    <t>Inches</t>
  </si>
  <si>
    <t>ENTER INPUT PARAMETERS HERE:</t>
  </si>
  <si>
    <t>READ FINAL SLOT DIMENSIONS HERE:</t>
  </si>
  <si>
    <t>INTERMEDIATE TERMS -- DON"T MESS WITH THESE!</t>
  </si>
  <si>
    <t>Frequency</t>
  </si>
  <si>
    <t>Waveguide large dim</t>
  </si>
  <si>
    <t>Waveguide small dim</t>
  </si>
  <si>
    <t>Number of slots</t>
  </si>
  <si>
    <t>Offset  from centerline</t>
  </si>
  <si>
    <t>W1GHZ 2000</t>
  </si>
  <si>
    <t>old from KB7TRZ</t>
  </si>
  <si>
    <t>improved from Elliott</t>
  </si>
  <si>
    <t>Wavelength - free space</t>
  </si>
  <si>
    <t>Wavelength - cutoff</t>
  </si>
  <si>
    <t>Guide wavelength</t>
  </si>
  <si>
    <t>End space = 3/4 wave</t>
  </si>
  <si>
    <t>End space = 1/4 wave</t>
  </si>
  <si>
    <t>Offset calculation: Mathcad from KB7TRZ:</t>
  </si>
  <si>
    <t>Offset calculation: BASIC from W6OYJ:</t>
  </si>
  <si>
    <t>New offset calc from Elliott:</t>
  </si>
  <si>
    <t>Slot Length Calculation from Stegen curves:</t>
  </si>
  <si>
    <t>Slot Length</t>
  </si>
  <si>
    <t>enter taper admittance here</t>
  </si>
  <si>
    <t>Waveguide Slot Antenna Calculator</t>
  </si>
  <si>
    <t>Slot in wavelengths</t>
  </si>
  <si>
    <t>Estimated Performance</t>
  </si>
  <si>
    <t>dB</t>
  </si>
  <si>
    <t>deg</t>
  </si>
  <si>
    <t>Beamwidth=</t>
  </si>
  <si>
    <t xml:space="preserve"> </t>
  </si>
  <si>
    <t>Gain =</t>
  </si>
  <si>
    <t xml:space="preserve">   End space is from shorted end to center of last slot</t>
  </si>
  <si>
    <t>Slot spacing center to center</t>
  </si>
  <si>
    <t>updated 5/30/2002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</si>
</sst>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  <numFmt numFmtId="168" formatCode="0.000000"/>
  </numFmts>
  <fonts count="31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color indexed="12"/>
      <name val="Arial"/>
      <family val="2"/>
    </font>
    <font>
      <b/>
      <u val="single"/>
      <sz val="14"/>
      <color indexed="57"/>
      <name val="Arial"/>
      <family val="2"/>
    </font>
    <font>
      <b/>
      <i/>
      <u val="single"/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name val="Arial"/>
      <family val="2"/>
    </font>
    <font>
      <b/>
      <i/>
      <u val="single"/>
      <sz val="14"/>
      <color indexed="57"/>
      <name val="Arial"/>
      <family val="2"/>
    </font>
    <font>
      <i/>
      <sz val="14"/>
      <color indexed="53"/>
      <name val="Arial"/>
      <family val="2"/>
    </font>
    <font>
      <i/>
      <sz val="14"/>
      <name val="Arial"/>
      <family val="2"/>
    </font>
    <font>
      <b/>
      <sz val="12"/>
      <color indexed="57"/>
      <name val="Arial"/>
      <family val="2"/>
    </font>
    <font>
      <i/>
      <u val="single"/>
      <sz val="14"/>
      <color indexed="53"/>
      <name val="Arial"/>
      <family val="2"/>
    </font>
    <font>
      <i/>
      <u val="single"/>
      <sz val="14"/>
      <color indexed="57"/>
      <name val="Arial"/>
      <family val="2"/>
    </font>
    <font>
      <sz val="14"/>
      <color indexed="14"/>
      <name val="Arial"/>
      <family val="2"/>
    </font>
    <font>
      <sz val="10"/>
      <color indexed="14"/>
      <name val="Arial"/>
      <family val="2"/>
    </font>
    <font>
      <b/>
      <sz val="14"/>
      <color indexed="14"/>
      <name val="Arial"/>
      <family val="2"/>
    </font>
    <font>
      <b/>
      <u val="single"/>
      <sz val="16"/>
      <name val="Arial"/>
      <family val="2"/>
    </font>
    <font>
      <b/>
      <i/>
      <sz val="12"/>
      <name val="Arial"/>
      <family val="2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i/>
      <u val="single"/>
      <sz val="10"/>
      <color indexed="40"/>
      <name val="Arial"/>
      <family val="0"/>
    </font>
    <font>
      <b/>
      <sz val="10"/>
      <color indexed="40"/>
      <name val="Arial"/>
      <family val="0"/>
    </font>
    <font>
      <sz val="10"/>
      <color indexed="40"/>
      <name val="Arial"/>
      <family val="0"/>
    </font>
    <font>
      <b/>
      <sz val="12"/>
      <color indexed="40"/>
      <name val="Arial"/>
      <family val="0"/>
    </font>
    <font>
      <b/>
      <i/>
      <sz val="10"/>
      <color indexed="57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5" fontId="11" fillId="0" borderId="0" xfId="0" applyNumberFormat="1" applyFont="1" applyAlignment="1">
      <alignment/>
    </xf>
    <xf numFmtId="0" fontId="12" fillId="0" borderId="0" xfId="0" applyFont="1" applyAlignment="1">
      <alignment/>
    </xf>
    <xf numFmtId="164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13" fillId="0" borderId="0" xfId="0" applyFont="1" applyAlignment="1">
      <alignment/>
    </xf>
    <xf numFmtId="164" fontId="8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16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right"/>
    </xf>
    <xf numFmtId="167" fontId="24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2" fontId="28" fillId="0" borderId="0" xfId="0" applyNumberFormat="1" applyFont="1" applyAlignment="1">
      <alignment/>
    </xf>
    <xf numFmtId="0" fontId="28" fillId="0" borderId="0" xfId="0" applyFont="1" applyAlignment="1">
      <alignment/>
    </xf>
    <xf numFmtId="165" fontId="28" fillId="0" borderId="0" xfId="0" applyNumberFormat="1" applyFont="1" applyAlignment="1">
      <alignment/>
    </xf>
    <xf numFmtId="2" fontId="27" fillId="0" borderId="0" xfId="0" applyNumberFormat="1" applyFont="1" applyAlignment="1">
      <alignment/>
    </xf>
    <xf numFmtId="165" fontId="27" fillId="0" borderId="0" xfId="0" applyNumberFormat="1" applyFont="1" applyAlignment="1">
      <alignment/>
    </xf>
    <xf numFmtId="2" fontId="29" fillId="0" borderId="0" xfId="0" applyNumberFormat="1" applyFont="1" applyAlignment="1">
      <alignment/>
    </xf>
    <xf numFmtId="0" fontId="29" fillId="0" borderId="0" xfId="0" applyFont="1" applyAlignment="1">
      <alignment/>
    </xf>
    <xf numFmtId="2" fontId="3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4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22.421875" style="0" customWidth="1"/>
    <col min="2" max="2" width="7.140625" style="0" customWidth="1"/>
    <col min="3" max="3" width="4.28125" style="0" customWidth="1"/>
    <col min="4" max="4" width="8.140625" style="0" customWidth="1"/>
    <col min="5" max="5" width="4.421875" style="0" customWidth="1"/>
    <col min="6" max="6" width="3.8515625" style="0" customWidth="1"/>
    <col min="7" max="7" width="9.8515625" style="0" bestFit="1" customWidth="1"/>
    <col min="8" max="8" width="4.57421875" style="0" customWidth="1"/>
    <col min="10" max="10" width="4.7109375" style="0" customWidth="1"/>
  </cols>
  <sheetData>
    <row r="2" spans="2:3" ht="20.25">
      <c r="B2" s="33" t="s">
        <v>38</v>
      </c>
      <c r="C2" s="1"/>
    </row>
    <row r="3" spans="1:7" ht="15">
      <c r="A3" s="45" t="s">
        <v>48</v>
      </c>
      <c r="D3" s="7"/>
      <c r="G3" s="34" t="s">
        <v>24</v>
      </c>
    </row>
    <row r="4" ht="12.75">
      <c r="D4" s="7"/>
    </row>
    <row r="5" spans="1:9" ht="18">
      <c r="A5" s="35" t="s">
        <v>13</v>
      </c>
      <c r="B5" s="35" t="s">
        <v>14</v>
      </c>
      <c r="C5" s="35"/>
      <c r="D5" s="35" t="s">
        <v>15</v>
      </c>
      <c r="E5" s="36"/>
      <c r="F5" s="36"/>
      <c r="G5" s="35" t="s">
        <v>14</v>
      </c>
      <c r="H5" s="35"/>
      <c r="I5" s="35" t="s">
        <v>15</v>
      </c>
    </row>
    <row r="6" ht="12.75">
      <c r="D6" s="7"/>
    </row>
    <row r="7" spans="1:4" ht="18">
      <c r="A7" s="8" t="s">
        <v>16</v>
      </c>
      <c r="D7" s="7"/>
    </row>
    <row r="8" spans="1:5" ht="15.75">
      <c r="A8" s="16" t="s">
        <v>19</v>
      </c>
      <c r="B8">
        <f>Enter_f</f>
        <v>10.368</v>
      </c>
      <c r="C8" t="s">
        <v>7</v>
      </c>
      <c r="D8" s="12">
        <v>10.368</v>
      </c>
      <c r="E8" t="s">
        <v>7</v>
      </c>
    </row>
    <row r="9" spans="1:7" ht="15.75">
      <c r="A9" s="16" t="s">
        <v>20</v>
      </c>
      <c r="B9">
        <f>WG_a_inch*25.4</f>
        <v>22.86</v>
      </c>
      <c r="C9" t="s">
        <v>8</v>
      </c>
      <c r="D9" s="11">
        <v>0.9</v>
      </c>
      <c r="E9" t="s">
        <v>10</v>
      </c>
      <c r="G9" s="49">
        <f>IF((lam_cutoff/lam_zero)&lt;1.27,"WARNING - waveguide too small",IF((lam_cutoff/lam_zero)&gt;1.9,"WARNING - waveguide too large",""))</f>
      </c>
    </row>
    <row r="10" spans="1:5" ht="15.75">
      <c r="A10" s="16" t="s">
        <v>21</v>
      </c>
      <c r="B10">
        <f>WG_b_inch*25.4</f>
        <v>10.16</v>
      </c>
      <c r="C10" t="s">
        <v>8</v>
      </c>
      <c r="D10" s="11">
        <v>0.4</v>
      </c>
      <c r="E10" t="s">
        <v>10</v>
      </c>
    </row>
    <row r="11" spans="1:7" ht="15.75">
      <c r="A11" s="16" t="s">
        <v>22</v>
      </c>
      <c r="B11">
        <f>Enter_slots</f>
        <v>16</v>
      </c>
      <c r="D11" s="11">
        <v>16</v>
      </c>
      <c r="E11" s="2" t="s">
        <v>11</v>
      </c>
      <c r="F11" s="2"/>
      <c r="G11" s="2"/>
    </row>
    <row r="12" spans="1:7" ht="15.75">
      <c r="A12" s="16"/>
      <c r="D12" s="11"/>
      <c r="E12" s="2"/>
      <c r="F12" s="2"/>
      <c r="G12" s="2"/>
    </row>
    <row r="13" spans="1:10" ht="15.75">
      <c r="A13" s="37" t="s">
        <v>40</v>
      </c>
      <c r="B13" s="41" t="s">
        <v>45</v>
      </c>
      <c r="C13" s="39" t="s">
        <v>44</v>
      </c>
      <c r="D13" s="42">
        <f>10*LOG((Nslots/2)*lam_guide/lam_zero)</f>
        <v>10.142079431308018</v>
      </c>
      <c r="E13" s="39" t="s">
        <v>41</v>
      </c>
      <c r="F13" s="40"/>
      <c r="G13" s="38" t="s">
        <v>43</v>
      </c>
      <c r="H13" s="39"/>
      <c r="I13" s="42">
        <f>50.7*lam_zero/((Nslots/2)*(lam_guide/2))</f>
        <v>9.813637501483406</v>
      </c>
      <c r="J13" s="39" t="s">
        <v>42</v>
      </c>
    </row>
    <row r="15" spans="1:4" ht="18">
      <c r="A15" s="9" t="s">
        <v>17</v>
      </c>
      <c r="B15" s="5"/>
      <c r="D15" s="3"/>
    </row>
    <row r="16" spans="1:9" ht="18.75">
      <c r="A16" s="17"/>
      <c r="B16" s="28" t="s">
        <v>25</v>
      </c>
      <c r="C16" s="18"/>
      <c r="D16" s="19"/>
      <c r="E16" s="20"/>
      <c r="F16" s="20"/>
      <c r="G16" s="29" t="s">
        <v>26</v>
      </c>
      <c r="H16" s="20"/>
      <c r="I16" s="20"/>
    </row>
    <row r="17" spans="1:10" s="13" customFormat="1" ht="12.75">
      <c r="A17" s="14" t="s">
        <v>23</v>
      </c>
      <c r="B17" s="51">
        <f>IF((lam_cutoff/lam_zero)&lt;1.27,"WARNING - waveguide too small",IF((lam_cutoff/lam_zero)&gt;1.9,"WARNING - waveguide too large",Slot_disp))</f>
        <v>2.127172564451247</v>
      </c>
      <c r="C17" t="s">
        <v>8</v>
      </c>
      <c r="D17" s="3">
        <f>$B17/25.4</f>
        <v>0.08374695135634831</v>
      </c>
      <c r="E17" t="s">
        <v>10</v>
      </c>
      <c r="G17" s="24">
        <f>IF((lam_cutoff/lam_zero)&lt;1.27,"WARNING - waveguide too small",IF((lam_cutoff/lam_zero)&gt;1.9,"WARNING - waveguide too large",New_slot_disp))</f>
        <v>2.345090006510684</v>
      </c>
      <c r="H17" s="14" t="s">
        <v>8</v>
      </c>
      <c r="I17" s="25">
        <f>$G17/25.4</f>
        <v>0.09232637820908204</v>
      </c>
      <c r="J17" s="14" t="s">
        <v>10</v>
      </c>
    </row>
    <row r="18" spans="1:10" ht="12.75">
      <c r="A18" s="14" t="s">
        <v>5</v>
      </c>
      <c r="B18" s="5">
        <f>lam_zero/2</f>
        <v>14.467592592592592</v>
      </c>
      <c r="C18" t="s">
        <v>8</v>
      </c>
      <c r="D18" s="3">
        <f>Slot_len/25.4</f>
        <v>0.5695902595508895</v>
      </c>
      <c r="E18" t="s">
        <v>10</v>
      </c>
      <c r="G18" s="24">
        <f>New_slot_len</f>
        <v>14.036438046561345</v>
      </c>
      <c r="H18" s="14" t="s">
        <v>8</v>
      </c>
      <c r="I18" s="25">
        <f>New_slot_len/25.4</f>
        <v>0.5526156711244624</v>
      </c>
      <c r="J18" s="14" t="s">
        <v>10</v>
      </c>
    </row>
    <row r="19" spans="1:10" ht="12.75">
      <c r="A19" s="14" t="s">
        <v>6</v>
      </c>
      <c r="B19" s="5">
        <f>lam_guide/20</f>
        <v>1.8685908877660533</v>
      </c>
      <c r="C19" t="s">
        <v>8</v>
      </c>
      <c r="D19" s="3">
        <f>Slot_width/25.4</f>
        <v>0.0735665703844903</v>
      </c>
      <c r="E19" t="s">
        <v>10</v>
      </c>
      <c r="G19" s="24">
        <f>New_slot_width*25.4</f>
        <v>1.5875</v>
      </c>
      <c r="H19" s="14" t="s">
        <v>8</v>
      </c>
      <c r="I19" s="25">
        <f>WG_a_inch*0.0625/0.9</f>
        <v>0.0625</v>
      </c>
      <c r="J19" s="14" t="s">
        <v>10</v>
      </c>
    </row>
    <row r="20" spans="1:10" ht="12.75">
      <c r="A20" s="14" t="s">
        <v>47</v>
      </c>
      <c r="B20" s="5">
        <f>lam_guide/2</f>
        <v>18.685908877660534</v>
      </c>
      <c r="C20" t="s">
        <v>8</v>
      </c>
      <c r="D20" s="3">
        <f>Slot_spac/25.4</f>
        <v>0.7356657038449029</v>
      </c>
      <c r="E20" t="s">
        <v>10</v>
      </c>
      <c r="F20" s="3"/>
      <c r="G20" s="24">
        <f>lam_guide/2</f>
        <v>18.685908877660534</v>
      </c>
      <c r="H20" s="14" t="s">
        <v>8</v>
      </c>
      <c r="I20" s="25">
        <f>Slot_spac/25.4</f>
        <v>0.7356657038449029</v>
      </c>
      <c r="J20" s="14" t="s">
        <v>10</v>
      </c>
    </row>
    <row r="21" spans="1:10" ht="12.75">
      <c r="A21" s="14" t="s">
        <v>31</v>
      </c>
      <c r="B21" s="5">
        <f>lam_guide/4</f>
        <v>9.342954438830267</v>
      </c>
      <c r="C21" t="s">
        <v>8</v>
      </c>
      <c r="D21" s="3">
        <f>End_spac/25.4</f>
        <v>0.36783285192245146</v>
      </c>
      <c r="E21" t="s">
        <v>10</v>
      </c>
      <c r="G21" s="24">
        <f>lam_guide/4</f>
        <v>9.342954438830267</v>
      </c>
      <c r="H21" s="14" t="s">
        <v>8</v>
      </c>
      <c r="I21" s="25">
        <f>End_spac/25.4</f>
        <v>0.36783285192245146</v>
      </c>
      <c r="J21" s="14" t="s">
        <v>10</v>
      </c>
    </row>
    <row r="22" spans="1:10" ht="12.75">
      <c r="A22" s="14" t="s">
        <v>30</v>
      </c>
      <c r="B22" s="5">
        <f>3*lam_guide/4</f>
        <v>28.0288633164908</v>
      </c>
      <c r="C22" t="s">
        <v>8</v>
      </c>
      <c r="D22" s="3">
        <f>threequartspac/25.4</f>
        <v>1.1034985557673544</v>
      </c>
      <c r="E22" t="s">
        <v>10</v>
      </c>
      <c r="G22" s="24">
        <f>3*lam_guide/4</f>
        <v>28.0288633164908</v>
      </c>
      <c r="H22" s="14" t="s">
        <v>8</v>
      </c>
      <c r="I22" s="25">
        <f>threequartspac/25.4</f>
        <v>1.1034985557673544</v>
      </c>
      <c r="J22" s="14" t="s">
        <v>10</v>
      </c>
    </row>
    <row r="23" spans="1:10" s="45" customFormat="1" ht="12.75">
      <c r="A23" s="43" t="s">
        <v>46</v>
      </c>
      <c r="B23" s="44"/>
      <c r="D23" s="46"/>
      <c r="G23" s="47"/>
      <c r="H23" s="43"/>
      <c r="I23" s="48"/>
      <c r="J23" s="43"/>
    </row>
    <row r="24" ht="12.75">
      <c r="G24" s="50">
        <f>IF(New_slot_disp&lt;0.5*$G19,"WARNING - slot overlaps centerline","")</f>
      </c>
    </row>
    <row r="25" spans="1:5" ht="12.75">
      <c r="A25" t="s">
        <v>27</v>
      </c>
      <c r="B25" s="5">
        <f>300/FGHz</f>
        <v>28.935185185185183</v>
      </c>
      <c r="C25" t="s">
        <v>8</v>
      </c>
      <c r="D25" s="3">
        <f>lam_zero/25.4</f>
        <v>1.139180519101779</v>
      </c>
      <c r="E25" t="s">
        <v>10</v>
      </c>
    </row>
    <row r="26" spans="1:5" ht="12.75">
      <c r="A26" t="s">
        <v>28</v>
      </c>
      <c r="B26" s="5">
        <f>2*WG_a</f>
        <v>45.72</v>
      </c>
      <c r="C26" t="s">
        <v>8</v>
      </c>
      <c r="D26" s="3">
        <f>lam_cutoff/25.4</f>
        <v>1.8</v>
      </c>
      <c r="E26" t="s">
        <v>10</v>
      </c>
    </row>
    <row r="27" spans="1:5" ht="12.75">
      <c r="A27" t="s">
        <v>29</v>
      </c>
      <c r="B27" s="5">
        <f>1/SQRT(((1/lam_zero)^2)-((1/lam_cutoff)^2))</f>
        <v>37.37181775532107</v>
      </c>
      <c r="C27" t="s">
        <v>8</v>
      </c>
      <c r="D27" s="3">
        <f>lam_guide/25.4</f>
        <v>1.4713314076898059</v>
      </c>
      <c r="E27" t="s">
        <v>10</v>
      </c>
    </row>
    <row r="28" spans="2:4" ht="12.75">
      <c r="B28" s="5"/>
      <c r="D28" s="3"/>
    </row>
    <row r="29" spans="2:4" ht="12.75">
      <c r="B29" s="5"/>
      <c r="D29" s="3"/>
    </row>
    <row r="30" spans="1:4" ht="18.75">
      <c r="A30" s="10" t="s">
        <v>18</v>
      </c>
      <c r="B30" s="5"/>
      <c r="D30" s="3"/>
    </row>
    <row r="31" spans="1:8" ht="18">
      <c r="A31" s="32" t="s">
        <v>12</v>
      </c>
      <c r="B31" s="21">
        <f>1/Nslots</f>
        <v>0.0625</v>
      </c>
      <c r="C31" s="21"/>
      <c r="D31" s="21"/>
      <c r="E31" s="21"/>
      <c r="F31" s="21"/>
      <c r="G31" s="30">
        <f>1/Nslots</f>
        <v>0.0625</v>
      </c>
      <c r="H31" s="31" t="s">
        <v>37</v>
      </c>
    </row>
    <row r="32" spans="1:7" ht="12.75">
      <c r="A32" t="s">
        <v>0</v>
      </c>
      <c r="B32" s="21">
        <f>2.09*(lam_guide/lam_zero)*(WG_a/WG_b)*(COS(PI()*lam_zero/2/lam_guide)^2)</f>
        <v>0.7322443354437426</v>
      </c>
      <c r="C32" s="21"/>
      <c r="D32" s="21"/>
      <c r="E32" s="21"/>
      <c r="F32" s="21"/>
      <c r="G32" s="27">
        <f>2.09*(lam_guide/lam_zero)*(WG_a/WG_b)*(COS(0.464*PI()*lam_zero/lam_guide)-COS(0.464*PI()))^2</f>
        <v>0.6028299483035782</v>
      </c>
    </row>
    <row r="33" spans="1:7" ht="12.75">
      <c r="A33" t="s">
        <v>1</v>
      </c>
      <c r="B33" s="21">
        <f>G_slot/G_1</f>
        <v>0.08535402320609935</v>
      </c>
      <c r="C33" s="21"/>
      <c r="D33" s="21"/>
      <c r="E33" s="21"/>
      <c r="F33" s="21"/>
      <c r="G33" s="27">
        <f>G_2_slot/New_G1</f>
        <v>0.10367766262422935</v>
      </c>
    </row>
    <row r="34" spans="2:4" ht="12.75">
      <c r="B34" s="5"/>
      <c r="D34" s="3"/>
    </row>
    <row r="35" spans="1:11" s="2" customFormat="1" ht="15.75">
      <c r="A35" s="2" t="s">
        <v>32</v>
      </c>
      <c r="B35" s="6"/>
      <c r="D35" s="4"/>
      <c r="G35" s="26" t="s">
        <v>34</v>
      </c>
      <c r="H35" s="26"/>
      <c r="I35" s="26"/>
      <c r="J35" s="26"/>
      <c r="K35" s="26"/>
    </row>
    <row r="36" spans="1:11" ht="12.75">
      <c r="A36" t="s">
        <v>2</v>
      </c>
      <c r="B36" s="5">
        <f>(WG_a/PI())*SQRT(ASIN(Y))</f>
        <v>2.127172564451247</v>
      </c>
      <c r="C36" t="s">
        <v>8</v>
      </c>
      <c r="D36" s="3">
        <f>Slot_disp/25.4</f>
        <v>0.08374695135634831</v>
      </c>
      <c r="E36" t="s">
        <v>9</v>
      </c>
      <c r="G36" s="22">
        <f>(WG_a/PI())*SQRT(ASIN(New_Y))</f>
        <v>2.345090006510684</v>
      </c>
      <c r="H36" s="15" t="s">
        <v>8</v>
      </c>
      <c r="I36" s="23">
        <f>New_slot_disp/25.4</f>
        <v>0.09232637820908204</v>
      </c>
      <c r="J36" s="15" t="s">
        <v>10</v>
      </c>
      <c r="K36" s="15"/>
    </row>
    <row r="37" spans="2:4" ht="12.75">
      <c r="B37" s="5"/>
      <c r="D37" s="3"/>
    </row>
    <row r="38" spans="1:4" s="2" customFormat="1" ht="15.75">
      <c r="A38" s="2" t="s">
        <v>33</v>
      </c>
      <c r="B38" s="6"/>
      <c r="D38" s="4"/>
    </row>
    <row r="39" spans="1:4" ht="12.75">
      <c r="A39" t="s">
        <v>3</v>
      </c>
      <c r="B39" s="5">
        <f>ATAN(Y/SQRT(1-Y^2))</f>
        <v>0.08545800286340352</v>
      </c>
      <c r="C39" t="s">
        <v>8</v>
      </c>
      <c r="D39" s="3"/>
    </row>
    <row r="40" spans="1:5" ht="12.75">
      <c r="A40" t="s">
        <v>4</v>
      </c>
      <c r="B40" s="5">
        <f>(WG_a/PI())*SQRT(AG)</f>
        <v>2.1271725644512474</v>
      </c>
      <c r="C40" t="s">
        <v>8</v>
      </c>
      <c r="D40" s="3">
        <f>basic_disp/25.4</f>
        <v>0.08374695135634833</v>
      </c>
      <c r="E40" t="s">
        <v>9</v>
      </c>
    </row>
    <row r="41" spans="2:4" ht="12.75">
      <c r="B41" s="5"/>
      <c r="D41" s="3"/>
    </row>
    <row r="42" ht="15.75">
      <c r="A42" s="2" t="s">
        <v>35</v>
      </c>
    </row>
    <row r="43" spans="1:7" ht="12.75">
      <c r="A43" s="13" t="s">
        <v>39</v>
      </c>
      <c r="G43" s="21">
        <f>0.210324*G_2_slot^4-0.338065*G_2_slot^3+0.12712*G_2_slot^2+0.034433*G_2_slot+0.48253</f>
        <v>0.48509929888916015</v>
      </c>
    </row>
    <row r="44" spans="1:10" ht="12.75">
      <c r="A44" t="s">
        <v>36</v>
      </c>
      <c r="G44" s="22">
        <f>lam_zero*Slot_wl</f>
        <v>14.036438046561345</v>
      </c>
      <c r="H44" s="15" t="s">
        <v>8</v>
      </c>
      <c r="I44" s="23">
        <f>New_slot_len/25.4</f>
        <v>0.5526156711244624</v>
      </c>
      <c r="J44" s="15" t="s">
        <v>10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3Com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3Com Corporation</dc:creator>
  <cp:keywords/>
  <dc:description/>
  <cp:lastModifiedBy>pwade</cp:lastModifiedBy>
  <cp:lastPrinted>2002-05-30T21:28:54Z</cp:lastPrinted>
  <dcterms:created xsi:type="dcterms:W3CDTF">1999-12-23T15:44:11Z</dcterms:created>
  <cp:category/>
  <cp:version/>
  <cp:contentType/>
  <cp:contentStatus/>
</cp:coreProperties>
</file>